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Graduate Studies\RASP\RASP\Faculty_Proposals\Kaproth\LCCMR 2019\"/>
    </mc:Choice>
  </mc:AlternateContent>
  <bookViews>
    <workbookView xWindow="28680" yWindow="-120" windowWidth="29040" windowHeight="15840"/>
  </bookViews>
  <sheets>
    <sheet name="Detailed Project Budget" sheetId="1" r:id="rId1"/>
  </sheets>
  <definedNames>
    <definedName name="_xlnm.Print_Area" localSheetId="0">'Detailed Project Budget'!$A$1:$E$44</definedName>
  </definedNames>
  <calcPr calcId="162913"/>
</workbook>
</file>

<file path=xl/calcChain.xml><?xml version="1.0" encoding="utf-8"?>
<calcChain xmlns="http://schemas.openxmlformats.org/spreadsheetml/2006/main">
  <c r="H22" i="1" l="1"/>
  <c r="B27" i="1"/>
  <c r="B21" i="1"/>
  <c r="B22" i="1"/>
  <c r="L39" i="1"/>
  <c r="C39" i="1" s="1"/>
  <c r="C35" i="1"/>
  <c r="C34" i="1" s="1"/>
  <c r="B20" i="1" l="1"/>
  <c r="I39" i="1"/>
  <c r="L19" i="1"/>
  <c r="M19" i="1" s="1"/>
  <c r="B19" i="1" s="1"/>
  <c r="K17" i="1"/>
  <c r="B18" i="1"/>
  <c r="B16" i="1"/>
  <c r="M15" i="1"/>
  <c r="L15" i="1"/>
  <c r="H18" i="1" l="1"/>
  <c r="I18" i="1"/>
  <c r="I16" i="1"/>
  <c r="H16" i="1"/>
  <c r="H19" i="1"/>
  <c r="I19" i="1"/>
  <c r="N19" i="1"/>
  <c r="W14" i="1"/>
  <c r="L14" i="1" s="1"/>
  <c r="K14" i="1" l="1"/>
  <c r="B48" i="1" l="1"/>
  <c r="F18" i="1" l="1"/>
  <c r="B29" i="1"/>
  <c r="I29" i="1" l="1"/>
  <c r="B28" i="1"/>
  <c r="G39" i="1"/>
  <c r="F39" i="1" s="1"/>
  <c r="M39" i="1"/>
  <c r="S39" i="1"/>
  <c r="R39" i="1"/>
  <c r="Q39" i="1"/>
  <c r="B26" i="1"/>
  <c r="H26" i="1" s="1"/>
  <c r="I26" i="1" l="1"/>
  <c r="K39" i="1"/>
  <c r="G15" i="1" l="1"/>
  <c r="F15" i="1" s="1"/>
  <c r="G14" i="1"/>
  <c r="F14" i="1" s="1"/>
  <c r="F17" i="1"/>
  <c r="L17" i="1"/>
  <c r="Q15" i="1"/>
  <c r="R15" i="1"/>
  <c r="S15" i="1"/>
  <c r="K15" i="1"/>
  <c r="S14" i="1"/>
  <c r="R14" i="1"/>
  <c r="Q14" i="1"/>
  <c r="M17" i="1" l="1"/>
  <c r="B17" i="1"/>
  <c r="M14" i="1"/>
  <c r="I17" i="1" l="1"/>
  <c r="H17" i="1"/>
  <c r="B14" i="1"/>
  <c r="B15" i="1"/>
  <c r="H15" i="1" l="1"/>
  <c r="I15" i="1"/>
  <c r="I14" i="1"/>
  <c r="B13" i="1"/>
  <c r="H14" i="1"/>
  <c r="B25" i="1"/>
  <c r="B24" i="1"/>
  <c r="I24" i="1" l="1"/>
  <c r="B23" i="1"/>
  <c r="B30" i="1" s="1"/>
  <c r="C40" i="1" s="1"/>
  <c r="B47" i="1" s="1"/>
  <c r="H24" i="1"/>
  <c r="H25" i="1"/>
  <c r="I25" i="1"/>
  <c r="H30" i="1"/>
  <c r="I30" i="1" l="1"/>
  <c r="C38" i="1"/>
</calcChain>
</file>

<file path=xl/sharedStrings.xml><?xml version="1.0" encoding="utf-8"?>
<sst xmlns="http://schemas.openxmlformats.org/spreadsheetml/2006/main" count="79" uniqueCount="70">
  <si>
    <t>Secured</t>
  </si>
  <si>
    <t>Private donations (through MSU, The Prairie Enthusiasts)</t>
  </si>
  <si>
    <t>FTE</t>
  </si>
  <si>
    <t>hours</t>
  </si>
  <si>
    <t>activity 1</t>
  </si>
  <si>
    <t>activity 2</t>
  </si>
  <si>
    <t>year 1</t>
  </si>
  <si>
    <t>year 2</t>
  </si>
  <si>
    <t>year 3</t>
  </si>
  <si>
    <t>Release y1</t>
  </si>
  <si>
    <t>Release y2</t>
  </si>
  <si>
    <t>Release y3</t>
  </si>
  <si>
    <t>duty days release y1</t>
  </si>
  <si>
    <t>duty days release y2</t>
  </si>
  <si>
    <t>duty days release y3</t>
  </si>
  <si>
    <t>summer duty days y1</t>
  </si>
  <si>
    <t>summer duty days y2</t>
  </si>
  <si>
    <t>summer duty days y3</t>
  </si>
  <si>
    <t>summer duty day rate</t>
  </si>
  <si>
    <t>student pay rates MNSU: http://www.mnsu.edu/busoff/studentpayroll/policies/summer/</t>
  </si>
  <si>
    <t xml:space="preserve">Dr. Robyn Ceurvorst, Co-Principal Investigator, MNSU; 8.1% FTE (3 credit Fall Release) </t>
  </si>
  <si>
    <t>Darlene &amp; William Radichel Herbarium Endowment, MSU, Mankato, MN (MANK)</t>
  </si>
  <si>
    <t>Private land owners, The Prairie Enthusiasts consultations, expertise, prescribed fire burn crew equipment/insurance</t>
  </si>
  <si>
    <t>Training curriculum: Restoring Minnesota Ecological Restoration Online Courses - Site Assessment and Monitoring Ecological Restoration, training for 3 junior scientists;  $375/course x 6</t>
  </si>
  <si>
    <t>Randy Schindle, Prairie Enthusiasts; consultation, records, access to sites, practitioner training/videos</t>
  </si>
  <si>
    <t>N/A</t>
  </si>
  <si>
    <t>All equipment matched by MSU Mankato (12% overhead: computers, video recording and editing, data achieve and hosting, analysis software, freezers, student volunteer/internships, award administration, MSU Technical Assistant office/phone)</t>
  </si>
  <si>
    <t>AY w/ 18 credits = $22,787.70 + GA positions in the summer are minimum $5,000+7.65% FICA and the student needs to be enrolled in 3 credits ($500 each).</t>
  </si>
  <si>
    <t>ADD funding to make a website</t>
  </si>
  <si>
    <t>Dr. Matthew Kaproth, Project Manager - Activities 1&amp;2; 3 credit course release/year w/ 42% fringe rate; 15 summer duty days w/ 19% fringe (14% FTE per year for 3 years)</t>
  </si>
  <si>
    <t>Dr. Robyn Ceurvorst, Co-Principal Investigator - Activities 1&amp;2; 15 summer duty days w/ 19% fringe (5.8% FTE per year for 3 years)</t>
  </si>
  <si>
    <t>2 MSU MS graduate student Research Assistants (RAs) w/ tuition; RA fall and spring w/ 49% fringe rate; RA summer w/ 19% fringe (100% FTE per year for 2 years) - 1 student would primarily work on measurement methods and analysis of Activities 1; 1 student would primarily work on Activity 2 - dissemination of research tools, educational material and implementing workdays</t>
  </si>
  <si>
    <t>2 MSU Mankato undergraduate student field assistants for Activity 1 site surveys and Activity 2 educational videos/web updating ($10.70/hour, 500 hours); summer and fall for 3 years</t>
  </si>
  <si>
    <t>3 MSU Mankato MANK student herbarium assistants - Activity 1&amp;2; Plant preservation and digitization; $10.50/hour, 400 hours, part-time over 3 years</t>
  </si>
  <si>
    <t>1 Technical Assistant - junior scientist to organize fieldwork teams, process water/soil/genetic samples, processes &amp; achieve data for Activities 1&amp;2; 100% FTE w/ 38% fringe; 1.5 years</t>
  </si>
  <si>
    <t>Fleet rental for in-state field surveys &gt;100 miles for Activities 1&amp;2 (40 trips, $55/day, 2-day per trip)</t>
  </si>
  <si>
    <t>Field surveys room &amp; board for Activities 1&amp;2 (field station rates) ($64 2-day trips, 3 people, 40 trips)</t>
  </si>
  <si>
    <t>Conference presentations for Activities 1&amp;2; The Prairie Enthusiasts annual meetings (4 people, 2 meetings)</t>
  </si>
  <si>
    <t>Field site surveys to savanna/prairie sites in MN for Activities 1&amp;2 ($0.54/mile, 60 trips within a 100 radius)</t>
  </si>
  <si>
    <r>
      <rPr>
        <b/>
        <i/>
        <sz val="10"/>
        <rFont val="Calibri"/>
        <family val="2"/>
      </rPr>
      <t xml:space="preserve">Lab supplies for Activity 1: </t>
    </r>
    <r>
      <rPr>
        <i/>
        <sz val="10"/>
        <rFont val="Calibri"/>
        <family val="2"/>
      </rPr>
      <t xml:space="preserve">Water and soil testing (carbon, nitrogen, phosphorous $20/sample * 200 samples); Plant stress tolerance testing: Osmometer standards, liquid nitrogen ($500); Genetic sequencing for biodiversity measurements: Plant genetic variation (genotypes and ecotypes) of native prairie plants ($25/sample * 100); </t>
    </r>
    <r>
      <rPr>
        <b/>
        <i/>
        <sz val="10"/>
        <rFont val="Calibri"/>
        <family val="2"/>
      </rPr>
      <t>Activity 2:</t>
    </r>
    <r>
      <rPr>
        <i/>
        <sz val="10"/>
        <rFont val="Calibri"/>
        <family val="2"/>
      </rPr>
      <t xml:space="preserve"> Printing services for educational handouts, mailings ($500)</t>
    </r>
  </si>
  <si>
    <r>
      <rPr>
        <b/>
        <i/>
        <sz val="10"/>
        <rFont val="Calibri"/>
        <family val="2"/>
      </rPr>
      <t>Field supplies for Activity 1:</t>
    </r>
    <r>
      <rPr>
        <i/>
        <sz val="10"/>
        <rFont val="Calibri"/>
        <family val="2"/>
      </rPr>
      <t xml:space="preserve"> Cameras to monitor animal biodiversity/videography for educational training, clipboards/waterproof notebooks, reference books, plant press material for herbarium collections and sterile collection bags for plant, soil and microbe collection; </t>
    </r>
    <r>
      <rPr>
        <b/>
        <i/>
        <sz val="10"/>
        <rFont val="Calibri"/>
        <family val="2"/>
      </rPr>
      <t>Citizen workday supplies for Activity 2</t>
    </r>
    <r>
      <rPr>
        <i/>
        <sz val="10"/>
        <rFont val="Calibri"/>
        <family val="2"/>
      </rPr>
      <t xml:space="preserve"> to demonstrate recommended management methods on a 10 acre site: Burn crew clothes and safety equipment, fuel for prescribed fires, shovels, flappers, clippers, native prairie seed, water, snacks, gloves)</t>
    </r>
  </si>
  <si>
    <t>Attachment A: Project Budget Spreadsheet</t>
  </si>
  <si>
    <t>Environment and Natural Resources Trust Fund</t>
  </si>
  <si>
    <t>M.L. 2020 Budget Spreadsheet</t>
  </si>
  <si>
    <t>Legal Citation:</t>
  </si>
  <si>
    <t>Project Manager:   Dr. Matt Kaproth</t>
  </si>
  <si>
    <t>Project Budget:  $351,754</t>
  </si>
  <si>
    <t>Today's Date:  April 15, 2019</t>
  </si>
  <si>
    <t>Project Title:  Shifting Savannas: Assessing Management of At-Risk Sites</t>
  </si>
  <si>
    <t>Project Length and Completion Date:  7/01/2020 - 6/30/2023</t>
  </si>
  <si>
    <t>ENVIRONMENT AND NATURAL RESOURCES TRUST FUND BUDGET</t>
  </si>
  <si>
    <t>Budget</t>
  </si>
  <si>
    <t>COLUMN TOTAL</t>
  </si>
  <si>
    <t xml:space="preserve">SOURCE AND USE OF OTHER FUNDS CONTRIBUTED TO THE PROJECT
</t>
  </si>
  <si>
    <t xml:space="preserve">Status </t>
  </si>
  <si>
    <t xml:space="preserve"> Amount</t>
  </si>
  <si>
    <t>Organization:  Minnesota State University Mankato</t>
  </si>
  <si>
    <t>Non-State:</t>
  </si>
  <si>
    <t>State:</t>
  </si>
  <si>
    <t>In-kind:</t>
  </si>
  <si>
    <t>Amount Spent</t>
  </si>
  <si>
    <t>Spent</t>
  </si>
  <si>
    <t>Balance</t>
  </si>
  <si>
    <t xml:space="preserve">Other ENRTF APPROPRIATIONS AWARDED IN THE LAST SIX YEARS
</t>
  </si>
  <si>
    <t>Amount legally obligated but not yet spent</t>
  </si>
  <si>
    <t>Personnel (Wages and Benefits)</t>
  </si>
  <si>
    <t>Equipment/Tools/Supplies</t>
  </si>
  <si>
    <t>Travel expenses in Minnesota</t>
  </si>
  <si>
    <t>Other</t>
  </si>
  <si>
    <t>BUDGET ITEM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</si>
</sst>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&quot;$&quot;#,##0.0;[Red]&quot;$&quot;#,##0.0"/>
    <numFmt numFmtId="165" formatCode="&quot;$&quot;#,##0.00;[Red]&quot;$&quot;#,##0.00"/>
    <numFmt numFmtId="166" formatCode="0.0"/>
    <numFmt numFmtId="167" formatCode="0.000"/>
    <numFmt numFmtId="168" formatCode="_(&quot;$&quot;* #,##0_);_(&quot;$&quot;* \(#,##0\);_(&quot;$&quot;* &quot;-&quot;??_);_(@_)"/>
    <numFmt numFmtId="169" formatCode="0.0%"/>
    <numFmt numFmtId="170" formatCode="_([$$-409]* #,##0_);_([$$-409]* \(#,##0\);_([$$-409]* &quot;-&quot;??_);_(@_)"/>
  </numFmts>
  <fonts count="22" x14ac:knownFonts="1">
    <font>
      <sz val="10"/>
      <name val="Arial"/>
    </font>
    <font>
      <sz val="8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i/>
      <sz val="10"/>
      <name val="Calibri"/>
      <family val="2"/>
    </font>
    <font>
      <b/>
      <sz val="12"/>
      <name val="Calibri"/>
      <family val="2"/>
    </font>
    <font>
      <b/>
      <u/>
      <sz val="10"/>
      <name val="Calibri"/>
      <family val="2"/>
    </font>
    <font>
      <b/>
      <sz val="10"/>
      <color indexed="8"/>
      <name val="Calibri"/>
      <family val="2"/>
    </font>
    <font>
      <i/>
      <sz val="10"/>
      <color indexed="8"/>
      <name val="Calibri"/>
      <family val="2"/>
    </font>
    <font>
      <sz val="10"/>
      <color rgb="FF000000"/>
      <name val="Calibri"/>
      <family val="2"/>
      <scheme val="minor"/>
    </font>
    <font>
      <sz val="10"/>
      <color rgb="FF000000"/>
      <name val="Calibri"/>
      <family val="2"/>
    </font>
    <font>
      <i/>
      <sz val="10"/>
      <name val="Calibri"/>
      <family val="2"/>
      <scheme val="minor"/>
    </font>
    <font>
      <sz val="11"/>
      <color rgb="FF9C0006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i/>
      <sz val="10"/>
      <name val="Calibri"/>
      <family val="2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2" fillId="2" borderId="0" applyNumberFormat="0" applyBorder="0" applyAlignment="0" applyProtection="0"/>
    <xf numFmtId="9" fontId="16" fillId="0" borderId="0" applyFont="0" applyFill="0" applyBorder="0" applyAlignment="0" applyProtection="0"/>
    <xf numFmtId="44" fontId="16" fillId="0" borderId="0" applyFont="0" applyFill="0" applyBorder="0" applyAlignment="0" applyProtection="0"/>
  </cellStyleXfs>
  <cellXfs count="104">
    <xf numFmtId="0" fontId="0" fillId="0" borderId="0" xfId="0"/>
    <xf numFmtId="0" fontId="2" fillId="0" borderId="0" xfId="0" applyFont="1"/>
    <xf numFmtId="0" fontId="7" fillId="0" borderId="1" xfId="0" applyFont="1" applyBorder="1" applyAlignment="1">
      <alignment vertical="top" wrapText="1"/>
    </xf>
    <xf numFmtId="42" fontId="2" fillId="0" borderId="1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4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6" fontId="2" fillId="0" borderId="1" xfId="0" applyNumberFormat="1" applyFont="1" applyBorder="1" applyAlignment="1">
      <alignment horizontal="right" vertical="top"/>
    </xf>
    <xf numFmtId="0" fontId="11" fillId="0" borderId="7" xfId="0" applyFont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2" fontId="5" fillId="0" borderId="0" xfId="0" applyNumberFormat="1" applyFont="1" applyAlignment="1">
      <alignment horizontal="left" wrapText="1"/>
    </xf>
    <xf numFmtId="2" fontId="2" fillId="0" borderId="0" xfId="0" applyNumberFormat="1" applyFont="1"/>
    <xf numFmtId="2" fontId="2" fillId="0" borderId="0" xfId="0" applyNumberFormat="1" applyFont="1" applyAlignment="1">
      <alignment vertical="top"/>
    </xf>
    <xf numFmtId="2" fontId="9" fillId="0" borderId="0" xfId="0" applyNumberFormat="1" applyFont="1"/>
    <xf numFmtId="6" fontId="2" fillId="0" borderId="0" xfId="0" applyNumberFormat="1" applyFont="1" applyAlignment="1">
      <alignment horizontal="left"/>
    </xf>
    <xf numFmtId="6" fontId="2" fillId="0" borderId="0" xfId="0" applyNumberFormat="1" applyFont="1"/>
    <xf numFmtId="2" fontId="10" fillId="0" borderId="0" xfId="0" applyNumberFormat="1" applyFont="1"/>
    <xf numFmtId="6" fontId="10" fillId="0" borderId="0" xfId="0" applyNumberFormat="1" applyFont="1"/>
    <xf numFmtId="2" fontId="10" fillId="3" borderId="0" xfId="0" applyNumberFormat="1" applyFont="1" applyFill="1"/>
    <xf numFmtId="164" fontId="2" fillId="0" borderId="0" xfId="0" applyNumberFormat="1" applyFont="1"/>
    <xf numFmtId="6" fontId="2" fillId="3" borderId="0" xfId="0" applyNumberFormat="1" applyFont="1" applyFill="1" applyAlignment="1">
      <alignment horizontal="left"/>
    </xf>
    <xf numFmtId="165" fontId="2" fillId="0" borderId="0" xfId="0" applyNumberFormat="1" applyFont="1"/>
    <xf numFmtId="1" fontId="2" fillId="0" borderId="0" xfId="0" applyNumberFormat="1" applyFont="1" applyAlignment="1">
      <alignment horizontal="left"/>
    </xf>
    <xf numFmtId="2" fontId="2" fillId="0" borderId="0" xfId="0" applyNumberFormat="1" applyFont="1" applyAlignment="1">
      <alignment horizontal="center" wrapText="1"/>
    </xf>
    <xf numFmtId="1" fontId="2" fillId="0" borderId="0" xfId="0" applyNumberFormat="1" applyFont="1"/>
    <xf numFmtId="2" fontId="6" fillId="0" borderId="0" xfId="0" applyNumberFormat="1" applyFont="1" applyAlignment="1">
      <alignment horizontal="center" wrapText="1"/>
    </xf>
    <xf numFmtId="2" fontId="13" fillId="3" borderId="0" xfId="0" applyNumberFormat="1" applyFont="1" applyFill="1" applyAlignment="1">
      <alignment horizontal="center" vertical="top" wrapText="1"/>
    </xf>
    <xf numFmtId="2" fontId="8" fillId="0" borderId="0" xfId="0" applyNumberFormat="1" applyFont="1" applyAlignment="1">
      <alignment horizontal="center" vertical="top" wrapText="1"/>
    </xf>
    <xf numFmtId="2" fontId="2" fillId="0" borderId="0" xfId="0" applyNumberFormat="1" applyFont="1" applyAlignment="1">
      <alignment horizontal="center" vertical="top" wrapText="1"/>
    </xf>
    <xf numFmtId="0" fontId="12" fillId="2" borderId="0" xfId="1"/>
    <xf numFmtId="166" fontId="9" fillId="0" borderId="0" xfId="0" applyNumberFormat="1" applyFont="1"/>
    <xf numFmtId="1" fontId="14" fillId="2" borderId="0" xfId="1" applyNumberFormat="1" applyFont="1"/>
    <xf numFmtId="167" fontId="10" fillId="0" borderId="0" xfId="0" applyNumberFormat="1" applyFont="1"/>
    <xf numFmtId="42" fontId="10" fillId="0" borderId="0" xfId="0" applyNumberFormat="1" applyFont="1"/>
    <xf numFmtId="168" fontId="2" fillId="0" borderId="0" xfId="0" applyNumberFormat="1" applyFont="1" applyAlignment="1">
      <alignment horizontal="left"/>
    </xf>
    <xf numFmtId="0" fontId="8" fillId="0" borderId="1" xfId="0" applyFont="1" applyBorder="1" applyAlignment="1">
      <alignment vertical="top" wrapText="1"/>
    </xf>
    <xf numFmtId="1" fontId="9" fillId="0" borderId="0" xfId="0" applyNumberFormat="1" applyFont="1"/>
    <xf numFmtId="42" fontId="2" fillId="0" borderId="0" xfId="0" applyNumberFormat="1" applyFont="1"/>
    <xf numFmtId="0" fontId="4" fillId="0" borderId="1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42" fontId="2" fillId="0" borderId="0" xfId="0" applyNumberFormat="1" applyFont="1" applyAlignment="1">
      <alignment horizontal="center"/>
    </xf>
    <xf numFmtId="6" fontId="2" fillId="0" borderId="0" xfId="0" applyNumberFormat="1" applyFont="1" applyAlignment="1">
      <alignment horizontal="center"/>
    </xf>
    <xf numFmtId="169" fontId="2" fillId="0" borderId="0" xfId="2" applyNumberFormat="1" applyFont="1"/>
    <xf numFmtId="0" fontId="14" fillId="2" borderId="0" xfId="1" applyFont="1"/>
    <xf numFmtId="0" fontId="18" fillId="0" borderId="0" xfId="0" applyFont="1" applyAlignment="1">
      <alignment vertical="center" wrapText="1"/>
    </xf>
    <xf numFmtId="42" fontId="3" fillId="0" borderId="1" xfId="0" applyNumberFormat="1" applyFont="1" applyBorder="1" applyAlignment="1">
      <alignment horizontal="center" vertical="top"/>
    </xf>
    <xf numFmtId="42" fontId="2" fillId="0" borderId="0" xfId="0" applyNumberFormat="1" applyFont="1" applyAlignment="1">
      <alignment horizontal="left"/>
    </xf>
    <xf numFmtId="0" fontId="20" fillId="0" borderId="0" xfId="0" applyFont="1" applyAlignment="1">
      <alignment vertical="top" wrapText="1"/>
    </xf>
    <xf numFmtId="0" fontId="20" fillId="0" borderId="0" xfId="0" applyFont="1" applyBorder="1" applyAlignment="1">
      <alignment vertical="top"/>
    </xf>
    <xf numFmtId="0" fontId="20" fillId="0" borderId="0" xfId="0" applyFont="1" applyBorder="1" applyAlignment="1">
      <alignment vertical="top" wrapText="1"/>
    </xf>
    <xf numFmtId="0" fontId="20" fillId="0" borderId="0" xfId="0" applyFont="1" applyAlignment="1">
      <alignment vertical="top"/>
    </xf>
    <xf numFmtId="0" fontId="20" fillId="0" borderId="0" xfId="0" applyFont="1" applyAlignment="1">
      <alignment vertical="center"/>
    </xf>
    <xf numFmtId="0" fontId="20" fillId="0" borderId="0" xfId="0" applyFont="1" applyFill="1" applyAlignment="1">
      <alignment vertical="top"/>
    </xf>
    <xf numFmtId="0" fontId="14" fillId="0" borderId="0" xfId="0" applyFont="1" applyAlignment="1">
      <alignment vertical="top"/>
    </xf>
    <xf numFmtId="0" fontId="20" fillId="4" borderId="9" xfId="0" applyFont="1" applyFill="1" applyBorder="1" applyAlignment="1">
      <alignment horizontal="center" wrapText="1"/>
    </xf>
    <xf numFmtId="0" fontId="3" fillId="0" borderId="2" xfId="0" applyFont="1" applyBorder="1" applyAlignment="1">
      <alignment vertical="top" wrapText="1"/>
    </xf>
    <xf numFmtId="0" fontId="20" fillId="4" borderId="1" xfId="0" applyFont="1" applyFill="1" applyBorder="1" applyAlignment="1">
      <alignment horizontal="left" vertical="center" wrapText="1"/>
    </xf>
    <xf numFmtId="0" fontId="20" fillId="4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vertical="top" wrapText="1"/>
    </xf>
    <xf numFmtId="0" fontId="19" fillId="0" borderId="0" xfId="0" applyFont="1" applyAlignment="1">
      <alignment vertical="top"/>
    </xf>
    <xf numFmtId="0" fontId="20" fillId="4" borderId="10" xfId="0" applyFont="1" applyFill="1" applyBorder="1" applyAlignment="1">
      <alignment horizontal="center" wrapText="1"/>
    </xf>
    <xf numFmtId="170" fontId="14" fillId="3" borderId="1" xfId="0" applyNumberFormat="1" applyFont="1" applyFill="1" applyBorder="1" applyAlignment="1">
      <alignment horizontal="right" vertical="top" wrapText="1"/>
    </xf>
    <xf numFmtId="170" fontId="14" fillId="0" borderId="1" xfId="0" applyNumberFormat="1" applyFont="1" applyBorder="1" applyAlignment="1">
      <alignment horizontal="right" vertical="top" wrapText="1"/>
    </xf>
    <xf numFmtId="170" fontId="14" fillId="0" borderId="7" xfId="0" applyNumberFormat="1" applyFont="1" applyBorder="1" applyAlignment="1">
      <alignment horizontal="right" vertical="top" wrapText="1"/>
    </xf>
    <xf numFmtId="0" fontId="14" fillId="0" borderId="1" xfId="0" applyFont="1" applyBorder="1" applyAlignment="1">
      <alignment vertical="top" wrapText="1"/>
    </xf>
    <xf numFmtId="168" fontId="14" fillId="0" borderId="1" xfId="3" applyNumberFormat="1" applyFont="1" applyBorder="1" applyAlignment="1">
      <alignment horizontal="right" vertical="top" wrapText="1"/>
    </xf>
    <xf numFmtId="0" fontId="14" fillId="0" borderId="1" xfId="0" applyFont="1" applyBorder="1"/>
    <xf numFmtId="0" fontId="20" fillId="4" borderId="9" xfId="0" applyFont="1" applyFill="1" applyBorder="1" applyAlignment="1">
      <alignment horizontal="left" wrapText="1"/>
    </xf>
    <xf numFmtId="0" fontId="20" fillId="4" borderId="1" xfId="0" applyFont="1" applyFill="1" applyBorder="1" applyAlignment="1">
      <alignment vertical="center" wrapText="1"/>
    </xf>
    <xf numFmtId="6" fontId="3" fillId="0" borderId="3" xfId="0" applyNumberFormat="1" applyFont="1" applyBorder="1" applyAlignment="1">
      <alignment horizontal="right" vertical="top"/>
    </xf>
    <xf numFmtId="0" fontId="3" fillId="0" borderId="4" xfId="0" applyFont="1" applyBorder="1" applyAlignment="1">
      <alignment horizontal="right" vertical="top"/>
    </xf>
    <xf numFmtId="42" fontId="3" fillId="0" borderId="3" xfId="0" applyNumberFormat="1" applyFont="1" applyBorder="1" applyAlignment="1">
      <alignment horizontal="right" vertical="top"/>
    </xf>
    <xf numFmtId="6" fontId="9" fillId="0" borderId="3" xfId="0" applyNumberFormat="1" applyFont="1" applyBorder="1"/>
    <xf numFmtId="6" fontId="10" fillId="0" borderId="3" xfId="0" applyNumberFormat="1" applyFont="1" applyBorder="1"/>
    <xf numFmtId="6" fontId="10" fillId="0" borderId="4" xfId="0" applyNumberFormat="1" applyFont="1" applyBorder="1"/>
    <xf numFmtId="6" fontId="15" fillId="0" borderId="3" xfId="0" applyNumberFormat="1" applyFont="1" applyBorder="1"/>
    <xf numFmtId="42" fontId="2" fillId="0" borderId="3" xfId="0" applyNumberFormat="1" applyFont="1" applyBorder="1" applyAlignment="1">
      <alignment horizontal="right" vertical="top"/>
    </xf>
    <xf numFmtId="42" fontId="2" fillId="0" borderId="4" xfId="0" applyNumberFormat="1" applyFont="1" applyBorder="1" applyAlignment="1">
      <alignment horizontal="right" vertical="top"/>
    </xf>
    <xf numFmtId="6" fontId="2" fillId="0" borderId="3" xfId="0" applyNumberFormat="1" applyFont="1" applyBorder="1" applyAlignment="1">
      <alignment horizontal="right" vertical="top"/>
    </xf>
    <xf numFmtId="6" fontId="2" fillId="0" borderId="4" xfId="0" applyNumberFormat="1" applyFont="1" applyBorder="1" applyAlignment="1">
      <alignment horizontal="right" vertical="top"/>
    </xf>
    <xf numFmtId="42" fontId="2" fillId="0" borderId="3" xfId="0" applyNumberFormat="1" applyFont="1" applyBorder="1" applyAlignment="1">
      <alignment horizontal="center" vertical="top"/>
    </xf>
    <xf numFmtId="42" fontId="2" fillId="0" borderId="4" xfId="0" applyNumberFormat="1" applyFont="1" applyBorder="1" applyAlignment="1">
      <alignment horizontal="center" vertical="top"/>
    </xf>
    <xf numFmtId="42" fontId="3" fillId="0" borderId="5" xfId="0" applyNumberFormat="1" applyFont="1" applyBorder="1" applyAlignment="1">
      <alignment horizontal="center" vertical="top"/>
    </xf>
    <xf numFmtId="0" fontId="3" fillId="0" borderId="6" xfId="0" applyFont="1" applyBorder="1" applyAlignment="1">
      <alignment vertical="top"/>
    </xf>
    <xf numFmtId="0" fontId="3" fillId="0" borderId="7" xfId="0" applyFont="1" applyBorder="1" applyAlignment="1">
      <alignment horizontal="left" wrapText="1"/>
    </xf>
    <xf numFmtId="42" fontId="3" fillId="0" borderId="13" xfId="0" applyNumberFormat="1" applyFont="1" applyBorder="1" applyAlignment="1">
      <alignment horizontal="center"/>
    </xf>
    <xf numFmtId="0" fontId="3" fillId="0" borderId="14" xfId="0" applyFont="1" applyBorder="1"/>
    <xf numFmtId="0" fontId="4" fillId="0" borderId="7" xfId="0" applyFont="1" applyBorder="1" applyAlignment="1">
      <alignment vertical="top" wrapText="1"/>
    </xf>
    <xf numFmtId="0" fontId="2" fillId="0" borderId="4" xfId="0" applyFont="1" applyBorder="1" applyAlignment="1">
      <alignment vertical="top"/>
    </xf>
    <xf numFmtId="0" fontId="20" fillId="4" borderId="8" xfId="0" applyFont="1" applyFill="1" applyBorder="1" applyAlignment="1">
      <alignment horizontal="right" wrapText="1"/>
    </xf>
    <xf numFmtId="0" fontId="21" fillId="3" borderId="14" xfId="0" applyFont="1" applyFill="1" applyBorder="1" applyAlignment="1">
      <alignment vertical="top" wrapText="1"/>
    </xf>
    <xf numFmtId="0" fontId="2" fillId="0" borderId="11" xfId="0" applyFont="1" applyBorder="1"/>
    <xf numFmtId="0" fontId="2" fillId="0" borderId="12" xfId="0" applyFont="1" applyBorder="1"/>
    <xf numFmtId="0" fontId="2" fillId="0" borderId="16" xfId="0" applyFont="1" applyBorder="1"/>
    <xf numFmtId="0" fontId="21" fillId="3" borderId="1" xfId="0" applyFont="1" applyFill="1" applyBorder="1" applyAlignment="1">
      <alignment vertical="top" wrapText="1"/>
    </xf>
    <xf numFmtId="6" fontId="9" fillId="0" borderId="15" xfId="0" applyNumberFormat="1" applyFont="1" applyBorder="1"/>
    <xf numFmtId="6" fontId="15" fillId="0" borderId="15" xfId="0" applyNumberFormat="1" applyFont="1" applyBorder="1"/>
    <xf numFmtId="6" fontId="10" fillId="0" borderId="15" xfId="0" applyNumberFormat="1" applyFont="1" applyBorder="1"/>
    <xf numFmtId="0" fontId="3" fillId="0" borderId="16" xfId="0" applyFont="1" applyBorder="1"/>
    <xf numFmtId="0" fontId="11" fillId="0" borderId="1" xfId="0" applyFont="1" applyBorder="1" applyAlignment="1">
      <alignment vertical="top" wrapText="1"/>
    </xf>
  </cellXfs>
  <cellStyles count="4">
    <cellStyle name="Bad" xfId="1" builtinId="27"/>
    <cellStyle name="Currency" xfId="3" builtinId="4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</xdr:colOff>
      <xdr:row>0</xdr:row>
      <xdr:rowOff>114300</xdr:rowOff>
    </xdr:from>
    <xdr:to>
      <xdr:col>4</xdr:col>
      <xdr:colOff>664748</xdr:colOff>
      <xdr:row>5</xdr:row>
      <xdr:rowOff>119062</xdr:rowOff>
    </xdr:to>
    <xdr:pic>
      <xdr:nvPicPr>
        <xdr:cNvPr id="3" name="Picture 2" descr="ENRTF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34150" y="114300"/>
          <a:ext cx="1360073" cy="9572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2"/>
  <sheetViews>
    <sheetView tabSelected="1" view="pageBreakPreview" topLeftCell="A28" zoomScaleNormal="100" zoomScaleSheetLayoutView="100" workbookViewId="0">
      <selection activeCell="A39" sqref="A39"/>
    </sheetView>
  </sheetViews>
  <sheetFormatPr defaultColWidth="0" defaultRowHeight="12.75" zeroHeight="1" x14ac:dyDescent="0.2"/>
  <cols>
    <col min="1" max="1" width="74.28515625" style="8" customWidth="1"/>
    <col min="2" max="2" width="19.140625" style="6" customWidth="1"/>
    <col min="3" max="5" width="11" style="7" customWidth="1"/>
    <col min="6" max="7" width="11" style="27" hidden="1"/>
    <col min="8" max="8" width="11.28515625" style="13" hidden="1"/>
    <col min="9" max="9" width="10" style="1" hidden="1"/>
    <col min="10" max="10" width="10.42578125" style="1" hidden="1"/>
    <col min="11" max="23" width="0" style="1" hidden="1"/>
    <col min="24" max="16384" width="8.85546875" style="1" hidden="1"/>
  </cols>
  <sheetData>
    <row r="1" spans="1:23" ht="15" x14ac:dyDescent="0.2">
      <c r="A1" s="51" t="s">
        <v>41</v>
      </c>
      <c r="D1" s="62"/>
      <c r="E1" s="62"/>
    </row>
    <row r="2" spans="1:23" ht="15" x14ac:dyDescent="0.2">
      <c r="A2" s="52" t="s">
        <v>42</v>
      </c>
      <c r="D2" s="57"/>
      <c r="E2" s="57"/>
    </row>
    <row r="3" spans="1:23" ht="15" x14ac:dyDescent="0.2">
      <c r="A3" s="53" t="s">
        <v>43</v>
      </c>
      <c r="D3" s="57"/>
      <c r="E3" s="57"/>
    </row>
    <row r="4" spans="1:23" ht="15" x14ac:dyDescent="0.2">
      <c r="A4" s="54" t="s">
        <v>44</v>
      </c>
      <c r="D4" s="62"/>
      <c r="E4" s="62"/>
    </row>
    <row r="5" spans="1:23" ht="15" x14ac:dyDescent="0.2">
      <c r="A5" s="54" t="s">
        <v>45</v>
      </c>
      <c r="D5" s="54"/>
      <c r="E5" s="54"/>
    </row>
    <row r="6" spans="1:23" ht="15" x14ac:dyDescent="0.2">
      <c r="A6" s="54" t="s">
        <v>48</v>
      </c>
      <c r="D6" s="54"/>
      <c r="E6" s="54"/>
    </row>
    <row r="7" spans="1:23" ht="15" x14ac:dyDescent="0.2">
      <c r="A7" s="54" t="s">
        <v>56</v>
      </c>
      <c r="D7" s="54"/>
      <c r="E7" s="54"/>
    </row>
    <row r="8" spans="1:23" ht="15" x14ac:dyDescent="0.2">
      <c r="A8" s="55" t="s">
        <v>46</v>
      </c>
      <c r="D8" s="54"/>
      <c r="E8" s="54"/>
    </row>
    <row r="9" spans="1:23" ht="15" x14ac:dyDescent="0.2">
      <c r="A9" s="54" t="s">
        <v>49</v>
      </c>
      <c r="D9" s="54"/>
      <c r="E9" s="54"/>
    </row>
    <row r="10" spans="1:23" ht="15" x14ac:dyDescent="0.2">
      <c r="A10" s="56" t="s">
        <v>47</v>
      </c>
      <c r="D10" s="63"/>
      <c r="E10" s="63"/>
    </row>
    <row r="11" spans="1:23" ht="30.75" customHeight="1" thickBot="1" x14ac:dyDescent="0.3">
      <c r="A11" s="71" t="s">
        <v>50</v>
      </c>
      <c r="B11" s="93" t="s">
        <v>51</v>
      </c>
      <c r="C11" s="64"/>
      <c r="D11" s="64" t="s">
        <v>60</v>
      </c>
      <c r="E11" s="58" t="s">
        <v>62</v>
      </c>
      <c r="F11" s="15" t="s">
        <v>2</v>
      </c>
      <c r="G11" s="15" t="s">
        <v>3</v>
      </c>
      <c r="H11" s="13" t="s">
        <v>4</v>
      </c>
      <c r="I11" s="13" t="s">
        <v>5</v>
      </c>
      <c r="J11" s="13"/>
      <c r="K11" s="1" t="s">
        <v>6</v>
      </c>
      <c r="L11" s="1" t="s">
        <v>7</v>
      </c>
      <c r="M11" s="1" t="s">
        <v>8</v>
      </c>
      <c r="N11" s="8" t="s">
        <v>9</v>
      </c>
      <c r="O11" s="8" t="s">
        <v>10</v>
      </c>
      <c r="P11" s="8" t="s">
        <v>11</v>
      </c>
      <c r="Q11" s="8" t="s">
        <v>12</v>
      </c>
      <c r="R11" s="8" t="s">
        <v>13</v>
      </c>
      <c r="S11" s="8" t="s">
        <v>14</v>
      </c>
      <c r="T11" s="8" t="s">
        <v>15</v>
      </c>
      <c r="U11" s="8" t="s">
        <v>16</v>
      </c>
      <c r="V11" s="8" t="s">
        <v>17</v>
      </c>
      <c r="W11" s="8" t="s">
        <v>18</v>
      </c>
    </row>
    <row r="12" spans="1:23" ht="15" customHeight="1" thickTop="1" x14ac:dyDescent="0.2">
      <c r="A12" s="102" t="s">
        <v>69</v>
      </c>
      <c r="B12" s="1"/>
      <c r="C12" s="96"/>
      <c r="D12" s="97"/>
      <c r="E12" s="95"/>
      <c r="F12" s="16"/>
      <c r="G12" s="16"/>
    </row>
    <row r="13" spans="1:23" ht="12.75" customHeight="1" x14ac:dyDescent="0.2">
      <c r="A13" s="10" t="s">
        <v>65</v>
      </c>
      <c r="B13" s="73">
        <f>SUM(B14:C19)</f>
        <v>311754.39860824466</v>
      </c>
      <c r="C13" s="74"/>
      <c r="D13" s="98"/>
      <c r="E13" s="94"/>
      <c r="F13" s="16"/>
      <c r="G13" s="16"/>
    </row>
    <row r="14" spans="1:23" ht="27.75" customHeight="1" x14ac:dyDescent="0.25">
      <c r="A14" s="103" t="s">
        <v>29</v>
      </c>
      <c r="B14" s="76">
        <f>SUM(K14:M14)</f>
        <v>65029.78334976</v>
      </c>
      <c r="C14" s="99"/>
      <c r="D14" s="65"/>
      <c r="E14" s="65"/>
      <c r="F14" s="36">
        <f>G14/2080</f>
        <v>0.41538461538461541</v>
      </c>
      <c r="G14" s="35">
        <f>(SUM(N14:P14)/24*168*8)+(SUM(T14:V14)*8)</f>
        <v>864</v>
      </c>
      <c r="H14" s="18">
        <f>B14/2</f>
        <v>32514.89167488</v>
      </c>
      <c r="I14" s="19">
        <f>B14/2</f>
        <v>32514.89167488</v>
      </c>
      <c r="J14" s="19"/>
      <c r="K14" s="28">
        <f>N14*(2959*1.42)+(T14*$W14*1.19)</f>
        <v>20280.84</v>
      </c>
      <c r="L14" s="28">
        <f>O14*(2959*1.04^2*1.42)+(U14*$W14*1.04^2*1.19)</f>
        <v>21935.756544000003</v>
      </c>
      <c r="M14" s="28">
        <f>P14*(2959*1.04^3*1.42)+(V14*$W14*1.04^3*1.19)</f>
        <v>22813.18680576</v>
      </c>
      <c r="N14" s="1">
        <v>3</v>
      </c>
      <c r="O14" s="1">
        <v>3</v>
      </c>
      <c r="P14" s="1">
        <v>3</v>
      </c>
      <c r="Q14" s="1">
        <f>168/24*N14</f>
        <v>21</v>
      </c>
      <c r="R14" s="1">
        <f t="shared" ref="R14:S14" si="0">168/24*O14</f>
        <v>21</v>
      </c>
      <c r="S14" s="1">
        <f t="shared" si="0"/>
        <v>21</v>
      </c>
      <c r="T14" s="1">
        <v>15</v>
      </c>
      <c r="U14" s="1">
        <v>15</v>
      </c>
      <c r="V14" s="1">
        <v>15</v>
      </c>
      <c r="W14" s="1">
        <f>430</f>
        <v>430</v>
      </c>
    </row>
    <row r="15" spans="1:23" ht="27" customHeight="1" x14ac:dyDescent="0.25">
      <c r="A15" s="103" t="s">
        <v>30</v>
      </c>
      <c r="B15" s="79">
        <f>SUM(K15:M15)</f>
        <v>22894.152959999999</v>
      </c>
      <c r="C15" s="100"/>
      <c r="D15" s="65"/>
      <c r="E15" s="65"/>
      <c r="F15" s="36">
        <f>G15/2080</f>
        <v>0.17307692307692307</v>
      </c>
      <c r="G15" s="35">
        <f>(SUM(N15:P15)/24*168*8)+(SUM(T15:V15)*8)</f>
        <v>360</v>
      </c>
      <c r="H15" s="18">
        <f>B15/2</f>
        <v>11447.07648</v>
      </c>
      <c r="I15" s="19">
        <f>B15/2</f>
        <v>11447.07648</v>
      </c>
      <c r="J15" s="19"/>
      <c r="K15" s="28">
        <f>N15*(2959*1.42)+(T15*$W15*1.19)</f>
        <v>7140</v>
      </c>
      <c r="L15" s="28">
        <f>O15*(2959*1.04^2*1.42)+(U15*$W15*1.04^2*1.19)</f>
        <v>7722.6239999999998</v>
      </c>
      <c r="M15" s="28">
        <f>P15*(2959*1.04^3*1.42)+(V15*$W15*1.04^3*1.19)</f>
        <v>8031.5289599999996</v>
      </c>
      <c r="N15" s="1">
        <v>0</v>
      </c>
      <c r="O15" s="1">
        <v>0</v>
      </c>
      <c r="P15" s="1">
        <v>0</v>
      </c>
      <c r="Q15" s="1">
        <f>168/24*N15</f>
        <v>0</v>
      </c>
      <c r="R15" s="1">
        <f t="shared" ref="R15" si="1">168/24*O15</f>
        <v>0</v>
      </c>
      <c r="S15" s="1">
        <f t="shared" ref="S15" si="2">168/24*P15</f>
        <v>0</v>
      </c>
      <c r="T15" s="1">
        <v>15</v>
      </c>
      <c r="U15" s="1">
        <v>15</v>
      </c>
      <c r="V15" s="1">
        <v>15</v>
      </c>
      <c r="W15" s="47">
        <v>400</v>
      </c>
    </row>
    <row r="16" spans="1:23" ht="54" customHeight="1" x14ac:dyDescent="0.2">
      <c r="A16" s="12" t="s">
        <v>31</v>
      </c>
      <c r="B16" s="77">
        <f>(((5000+(2*411.25)+16000+(9*411.25))*1.04+((5000+(2*411.25)+16000+(9*411.25))*1.04^2)*2))</f>
        <v>81757.676000000007</v>
      </c>
      <c r="C16" s="101"/>
      <c r="D16" s="66"/>
      <c r="E16" s="66"/>
      <c r="F16" s="17"/>
      <c r="G16" s="17"/>
      <c r="H16" s="18">
        <f>B16/2</f>
        <v>40878.838000000003</v>
      </c>
      <c r="I16" s="19">
        <f>B16/2</f>
        <v>40878.838000000003</v>
      </c>
      <c r="J16" s="19"/>
      <c r="L16" s="19"/>
      <c r="M16" s="19"/>
      <c r="P16" s="48" t="s">
        <v>27</v>
      </c>
    </row>
    <row r="17" spans="1:16" ht="27" customHeight="1" x14ac:dyDescent="0.2">
      <c r="A17" s="12" t="s">
        <v>32</v>
      </c>
      <c r="B17" s="76">
        <f>SUM(K17:M17)</f>
        <v>39747.332800000004</v>
      </c>
      <c r="C17" s="99"/>
      <c r="D17" s="66"/>
      <c r="E17" s="66"/>
      <c r="F17" s="20">
        <f>G17/2080</f>
        <v>1.4423076923076923</v>
      </c>
      <c r="G17" s="34">
        <v>3000</v>
      </c>
      <c r="H17" s="18">
        <f>B17*(2/3)</f>
        <v>26498.221866666667</v>
      </c>
      <c r="I17" s="19">
        <f>B17*(1/3)</f>
        <v>13249.110933333333</v>
      </c>
      <c r="J17" s="19"/>
      <c r="K17" s="1">
        <f>(500*10.7*2*1.19)</f>
        <v>12733</v>
      </c>
      <c r="L17" s="28">
        <f>K17*1.04</f>
        <v>13242.32</v>
      </c>
      <c r="M17" s="28">
        <f>L17*1.04</f>
        <v>13772.0128</v>
      </c>
      <c r="N17" s="1" t="s">
        <v>19</v>
      </c>
      <c r="P17" s="48"/>
    </row>
    <row r="18" spans="1:16" ht="27" customHeight="1" x14ac:dyDescent="0.2">
      <c r="A18" s="12" t="s">
        <v>33</v>
      </c>
      <c r="B18" s="77">
        <f>400*10.5</f>
        <v>4200</v>
      </c>
      <c r="C18" s="78"/>
      <c r="D18" s="66"/>
      <c r="E18" s="66"/>
      <c r="F18" s="20">
        <f>G18/2080</f>
        <v>0.19230769230769232</v>
      </c>
      <c r="G18" s="34">
        <v>400</v>
      </c>
      <c r="H18" s="18">
        <f>B18*(2/3)</f>
        <v>2800</v>
      </c>
      <c r="I18" s="19">
        <f>B18*(1/3)</f>
        <v>1400</v>
      </c>
      <c r="J18" s="19"/>
      <c r="L18" s="19"/>
      <c r="M18" s="19"/>
    </row>
    <row r="19" spans="1:16" ht="29.25" customHeight="1" x14ac:dyDescent="0.2">
      <c r="A19" s="12" t="s">
        <v>34</v>
      </c>
      <c r="B19" s="77">
        <f>(L19+M19)+((L19+M19)*0.5)^1.04</f>
        <v>98125.453498484654</v>
      </c>
      <c r="C19" s="78"/>
      <c r="D19" s="66"/>
      <c r="E19" s="66"/>
      <c r="F19" s="22"/>
      <c r="G19" s="40"/>
      <c r="H19" s="18">
        <f>B19*(2/3)</f>
        <v>65416.968998989767</v>
      </c>
      <c r="I19" s="19">
        <f>B19*(1/3)</f>
        <v>32708.484499494883</v>
      </c>
      <c r="J19" s="18"/>
      <c r="K19" s="23"/>
      <c r="L19" s="40">
        <f>(19.5*40*52)</f>
        <v>40560</v>
      </c>
      <c r="M19" s="19">
        <f>L19*0.38</f>
        <v>15412.8</v>
      </c>
      <c r="N19" s="46">
        <f>M19/L19</f>
        <v>0.38</v>
      </c>
    </row>
    <row r="20" spans="1:16" ht="12.75" customHeight="1" x14ac:dyDescent="0.2">
      <c r="A20" s="10" t="s">
        <v>66</v>
      </c>
      <c r="B20" s="73">
        <f>SUM(B21:C22)</f>
        <v>17500</v>
      </c>
      <c r="C20" s="74"/>
      <c r="D20" s="66"/>
      <c r="E20" s="66"/>
      <c r="F20" s="20"/>
      <c r="G20" s="17"/>
      <c r="H20" s="24"/>
      <c r="I20" s="19"/>
      <c r="L20" s="19"/>
      <c r="M20" s="19"/>
    </row>
    <row r="21" spans="1:16" ht="84" customHeight="1" x14ac:dyDescent="0.2">
      <c r="A21" s="42" t="s">
        <v>40</v>
      </c>
      <c r="B21" s="82">
        <f>1000+100+200+200+500+500+(10*200)+500+(10*400)+200+500</f>
        <v>9700</v>
      </c>
      <c r="C21" s="81"/>
      <c r="D21" s="66"/>
      <c r="E21" s="66"/>
      <c r="F21" s="20"/>
      <c r="G21" s="17"/>
      <c r="H21" s="13">
        <v>4700</v>
      </c>
      <c r="I21" s="21">
        <v>5000</v>
      </c>
      <c r="M21" s="19"/>
    </row>
    <row r="22" spans="1:16" ht="66.75" customHeight="1" x14ac:dyDescent="0.2">
      <c r="A22" s="42" t="s">
        <v>39</v>
      </c>
      <c r="B22" s="82">
        <f>20*200+300+500+100*25+500</f>
        <v>7800</v>
      </c>
      <c r="C22" s="83"/>
      <c r="D22" s="66"/>
      <c r="E22" s="66"/>
      <c r="F22" s="20"/>
      <c r="G22" s="17"/>
      <c r="H22" s="13">
        <f>400+6900</f>
        <v>7300</v>
      </c>
      <c r="I22" s="21">
        <v>500</v>
      </c>
      <c r="L22" s="19"/>
      <c r="M22" s="19"/>
    </row>
    <row r="23" spans="1:16" ht="15" x14ac:dyDescent="0.2">
      <c r="A23" s="10" t="s">
        <v>67</v>
      </c>
      <c r="B23" s="75">
        <f>SUM(B24:C27)</f>
        <v>20250</v>
      </c>
      <c r="C23" s="74"/>
      <c r="D23" s="66"/>
      <c r="E23" s="66"/>
      <c r="F23" s="20"/>
      <c r="G23" s="20"/>
      <c r="H23" s="18"/>
      <c r="I23" s="25"/>
      <c r="J23" s="19"/>
    </row>
    <row r="24" spans="1:16" ht="25.5" x14ac:dyDescent="0.2">
      <c r="A24" s="43" t="s">
        <v>38</v>
      </c>
      <c r="B24" s="80">
        <f>(0.475*100+22)*60</f>
        <v>4170</v>
      </c>
      <c r="C24" s="81"/>
      <c r="D24" s="66"/>
      <c r="E24" s="66"/>
      <c r="F24" s="20"/>
      <c r="G24" s="20"/>
      <c r="H24" s="18">
        <f>B24*(2/3)</f>
        <v>2780</v>
      </c>
      <c r="I24" s="19">
        <f>B24*(1/3)</f>
        <v>1390</v>
      </c>
      <c r="J24" s="18"/>
    </row>
    <row r="25" spans="1:16" ht="25.5" x14ac:dyDescent="0.2">
      <c r="A25" s="43" t="s">
        <v>35</v>
      </c>
      <c r="B25" s="80">
        <f>55*40*2</f>
        <v>4400</v>
      </c>
      <c r="C25" s="81"/>
      <c r="D25" s="66"/>
      <c r="E25" s="66"/>
      <c r="F25" s="16"/>
      <c r="G25" s="16"/>
      <c r="H25" s="18">
        <f>B25*(2/3)</f>
        <v>2933.333333333333</v>
      </c>
      <c r="I25" s="19">
        <f>B25*(1/3)</f>
        <v>1466.6666666666665</v>
      </c>
    </row>
    <row r="26" spans="1:16" ht="25.5" x14ac:dyDescent="0.2">
      <c r="A26" s="43" t="s">
        <v>36</v>
      </c>
      <c r="B26" s="80">
        <f>(24+40)*3*40</f>
        <v>7680</v>
      </c>
      <c r="C26" s="81"/>
      <c r="D26" s="66"/>
      <c r="E26" s="66"/>
      <c r="F26" s="20"/>
      <c r="G26" s="20"/>
      <c r="H26" s="50">
        <f>B26</f>
        <v>7680</v>
      </c>
      <c r="I26" s="37">
        <f>B26-H26</f>
        <v>0</v>
      </c>
      <c r="L26" s="21"/>
    </row>
    <row r="27" spans="1:16" ht="25.5" x14ac:dyDescent="0.2">
      <c r="A27" s="43" t="s">
        <v>37</v>
      </c>
      <c r="B27" s="84">
        <f>4*2*500</f>
        <v>4000</v>
      </c>
      <c r="C27" s="85"/>
      <c r="D27" s="66"/>
      <c r="E27" s="66"/>
      <c r="F27" s="20"/>
      <c r="G27" s="20"/>
      <c r="H27" s="38">
        <v>2000</v>
      </c>
      <c r="I27" s="38">
        <v>2000</v>
      </c>
      <c r="J27" s="38"/>
      <c r="L27" s="21"/>
    </row>
    <row r="28" spans="1:16" ht="15" x14ac:dyDescent="0.2">
      <c r="A28" s="59" t="s">
        <v>68</v>
      </c>
      <c r="B28" s="86">
        <f>B29</f>
        <v>2250</v>
      </c>
      <c r="C28" s="87"/>
      <c r="D28" s="66"/>
      <c r="E28" s="66"/>
      <c r="F28" s="16"/>
      <c r="G28" s="16"/>
    </row>
    <row r="29" spans="1:16" ht="27.75" customHeight="1" x14ac:dyDescent="0.2">
      <c r="A29" s="91" t="s">
        <v>23</v>
      </c>
      <c r="B29" s="84">
        <f>375*6</f>
        <v>2250</v>
      </c>
      <c r="C29" s="92"/>
      <c r="D29" s="66"/>
      <c r="E29" s="66"/>
      <c r="F29" s="20"/>
      <c r="G29" s="20"/>
      <c r="H29" s="37">
        <v>750</v>
      </c>
      <c r="I29" s="41">
        <f>B29-H29</f>
        <v>1500</v>
      </c>
      <c r="L29" s="19"/>
    </row>
    <row r="30" spans="1:16" ht="15" x14ac:dyDescent="0.2">
      <c r="A30" s="88" t="s">
        <v>52</v>
      </c>
      <c r="B30" s="89">
        <f>SUM(B28,B23,B20,B13)</f>
        <v>351754.39860824466</v>
      </c>
      <c r="C30" s="90"/>
      <c r="D30" s="66"/>
      <c r="E30" s="66"/>
      <c r="F30" s="15"/>
      <c r="G30" s="15"/>
      <c r="H30" s="26">
        <f>SUM(H12:H29)</f>
        <v>207699.33035386977</v>
      </c>
      <c r="I30" s="26">
        <f>SUM(I12:I29)</f>
        <v>144055.06825437487</v>
      </c>
      <c r="J30" s="26"/>
      <c r="K30" s="26"/>
      <c r="L30" s="26"/>
      <c r="M30" s="26"/>
    </row>
    <row r="31" spans="1:16" ht="16.5" customHeight="1" x14ac:dyDescent="0.2">
      <c r="A31" s="42"/>
      <c r="B31" s="84"/>
      <c r="C31" s="85"/>
      <c r="D31" s="66"/>
      <c r="E31" s="66"/>
      <c r="J31" s="28"/>
      <c r="M31" s="28"/>
    </row>
    <row r="32" spans="1:16" ht="3" customHeight="1" x14ac:dyDescent="0.25">
      <c r="A32" s="88"/>
      <c r="B32" s="89"/>
      <c r="C32" s="90"/>
      <c r="D32" s="66"/>
      <c r="E32" s="66"/>
      <c r="F32" s="14"/>
      <c r="G32" s="14"/>
    </row>
    <row r="33" spans="1:23" ht="28.5" customHeight="1" x14ac:dyDescent="0.2">
      <c r="A33" s="60" t="s">
        <v>53</v>
      </c>
      <c r="B33" s="61" t="s">
        <v>54</v>
      </c>
      <c r="C33" s="61" t="s">
        <v>55</v>
      </c>
      <c r="D33" s="61" t="s">
        <v>61</v>
      </c>
      <c r="E33" s="61" t="s">
        <v>62</v>
      </c>
      <c r="F33" s="29"/>
      <c r="G33" s="29"/>
    </row>
    <row r="34" spans="1:23" ht="15" x14ac:dyDescent="0.2">
      <c r="A34" s="2" t="s">
        <v>57</v>
      </c>
      <c r="B34" s="4"/>
      <c r="C34" s="49">
        <f>C35+C36</f>
        <v>5250</v>
      </c>
      <c r="D34" s="67"/>
      <c r="E34" s="66"/>
      <c r="F34" s="30"/>
      <c r="G34" s="30"/>
    </row>
    <row r="35" spans="1:23" ht="15" x14ac:dyDescent="0.2">
      <c r="A35" s="39" t="s">
        <v>1</v>
      </c>
      <c r="B35" s="4" t="s">
        <v>0</v>
      </c>
      <c r="C35" s="3">
        <f>500+750</f>
        <v>1250</v>
      </c>
      <c r="D35" s="68"/>
      <c r="E35" s="66"/>
      <c r="F35" s="32"/>
      <c r="G35" s="32"/>
    </row>
    <row r="36" spans="1:23" ht="15" x14ac:dyDescent="0.2">
      <c r="A36" s="42" t="s">
        <v>21</v>
      </c>
      <c r="B36" s="4" t="s">
        <v>0</v>
      </c>
      <c r="C36" s="3">
        <v>4000</v>
      </c>
      <c r="D36" s="69"/>
      <c r="E36" s="66"/>
      <c r="F36" s="32"/>
      <c r="G36" s="32"/>
    </row>
    <row r="37" spans="1:23" ht="15" x14ac:dyDescent="0.2">
      <c r="A37" s="10" t="s">
        <v>58</v>
      </c>
      <c r="B37" s="4" t="s">
        <v>25</v>
      </c>
      <c r="C37" s="3">
        <v>0</v>
      </c>
      <c r="D37" s="69"/>
      <c r="E37" s="66"/>
      <c r="F37" s="32"/>
      <c r="G37" s="32"/>
    </row>
    <row r="38" spans="1:23" ht="15" x14ac:dyDescent="0.2">
      <c r="A38" s="2" t="s">
        <v>59</v>
      </c>
      <c r="B38" s="9"/>
      <c r="C38" s="49">
        <f>C39+C40+C41+C42</f>
        <v>104420.71023298935</v>
      </c>
      <c r="D38" s="69"/>
      <c r="E38" s="66"/>
      <c r="F38" s="31"/>
      <c r="G38" s="31"/>
    </row>
    <row r="39" spans="1:23" ht="15" x14ac:dyDescent="0.25">
      <c r="A39" s="39" t="s">
        <v>20</v>
      </c>
      <c r="B39" s="9" t="s">
        <v>0</v>
      </c>
      <c r="C39" s="3">
        <f>L39</f>
        <v>12210.182400000002</v>
      </c>
      <c r="D39" s="69"/>
      <c r="E39" s="66"/>
      <c r="F39" s="36">
        <f>G39/2080</f>
        <v>8.0769230769230774E-2</v>
      </c>
      <c r="G39" s="35">
        <f>(SUM(N39:P39)/24*168*8)+(SUM(T39:V39)*8)</f>
        <v>168</v>
      </c>
      <c r="H39" s="18"/>
      <c r="I39" s="41">
        <f>C39</f>
        <v>12210.182400000002</v>
      </c>
      <c r="J39" s="19"/>
      <c r="K39" s="28">
        <f>N39*(2959*1.42)+(T39*$W39*1.19)</f>
        <v>0</v>
      </c>
      <c r="L39" s="28">
        <f>O39*(2756*1.04*1.42)+(U39*$W39*1.04*1.19)</f>
        <v>12210.182400000002</v>
      </c>
      <c r="M39" s="28">
        <f>P39*(2959*1.04^2*1.42)+(V39*$W39*1.04^2*1.19)</f>
        <v>0</v>
      </c>
      <c r="N39" s="1">
        <v>0</v>
      </c>
      <c r="O39" s="1">
        <v>3</v>
      </c>
      <c r="P39" s="1">
        <v>0</v>
      </c>
      <c r="Q39" s="1">
        <f>168/24*N39</f>
        <v>0</v>
      </c>
      <c r="R39" s="1">
        <f t="shared" ref="R39" si="3">168/24*O39</f>
        <v>21</v>
      </c>
      <c r="S39" s="1">
        <f t="shared" ref="S39" si="4">168/24*P39</f>
        <v>0</v>
      </c>
      <c r="T39" s="1">
        <v>0</v>
      </c>
      <c r="U39" s="1">
        <v>0</v>
      </c>
      <c r="V39" s="1">
        <v>0</v>
      </c>
      <c r="W39" s="33">
        <v>400</v>
      </c>
    </row>
    <row r="40" spans="1:23" ht="38.25" x14ac:dyDescent="0.25">
      <c r="A40" s="42" t="s">
        <v>26</v>
      </c>
      <c r="B40" s="4" t="s">
        <v>0</v>
      </c>
      <c r="C40" s="11">
        <f>B30*0.12</f>
        <v>42210.527832989355</v>
      </c>
      <c r="D40" s="70"/>
      <c r="E40" s="66"/>
    </row>
    <row r="41" spans="1:23" ht="25.5" x14ac:dyDescent="0.2">
      <c r="A41" s="42" t="s">
        <v>24</v>
      </c>
      <c r="B41" s="4" t="s">
        <v>0</v>
      </c>
      <c r="C41" s="11">
        <v>20000</v>
      </c>
      <c r="D41" s="69"/>
      <c r="E41" s="66"/>
    </row>
    <row r="42" spans="1:23" ht="25.5" x14ac:dyDescent="0.2">
      <c r="A42" s="42" t="s">
        <v>22</v>
      </c>
      <c r="B42" s="4" t="s">
        <v>0</v>
      </c>
      <c r="C42" s="11">
        <v>30000</v>
      </c>
      <c r="D42" s="69"/>
      <c r="E42" s="66"/>
    </row>
    <row r="43" spans="1:23" ht="45" customHeight="1" x14ac:dyDescent="0.2">
      <c r="A43" s="72" t="s">
        <v>63</v>
      </c>
      <c r="B43" s="61" t="s">
        <v>64</v>
      </c>
      <c r="C43" s="61" t="s">
        <v>51</v>
      </c>
      <c r="D43" s="61" t="s">
        <v>61</v>
      </c>
      <c r="E43" s="61" t="s">
        <v>62</v>
      </c>
    </row>
    <row r="44" spans="1:23" ht="15" x14ac:dyDescent="0.2">
      <c r="A44" s="39"/>
      <c r="B44" s="3"/>
      <c r="C44" s="4"/>
      <c r="D44" s="69"/>
      <c r="E44" s="69"/>
    </row>
    <row r="45" spans="1:23" hidden="1" x14ac:dyDescent="0.2">
      <c r="A45" s="5"/>
    </row>
    <row r="46" spans="1:23" hidden="1" x14ac:dyDescent="0.2"/>
    <row r="47" spans="1:23" hidden="1" x14ac:dyDescent="0.2">
      <c r="B47" s="44">
        <f>SUM(C39:C40)</f>
        <v>54420.710232989353</v>
      </c>
    </row>
    <row r="48" spans="1:23" hidden="1" x14ac:dyDescent="0.2">
      <c r="B48" s="45" t="e">
        <f>C41+C42+#REF!+C35</f>
        <v>#REF!</v>
      </c>
    </row>
    <row r="49" spans="1:1" hidden="1" x14ac:dyDescent="0.2"/>
    <row r="50" spans="1:1" hidden="1" x14ac:dyDescent="0.2"/>
    <row r="51" spans="1:1" hidden="1" x14ac:dyDescent="0.2">
      <c r="A51" s="8" t="s">
        <v>28</v>
      </c>
    </row>
    <row r="52" spans="1:1" x14ac:dyDescent="0.2"/>
  </sheetData>
  <mergeCells count="20">
    <mergeCell ref="B31:C31"/>
    <mergeCell ref="B32:C32"/>
    <mergeCell ref="B13:C13"/>
    <mergeCell ref="B29:C29"/>
    <mergeCell ref="B26:C26"/>
    <mergeCell ref="B27:C27"/>
    <mergeCell ref="B19:C19"/>
    <mergeCell ref="B28:C28"/>
    <mergeCell ref="B30:C30"/>
    <mergeCell ref="B20:C20"/>
    <mergeCell ref="B23:C23"/>
    <mergeCell ref="B14:C14"/>
    <mergeCell ref="B18:C18"/>
    <mergeCell ref="B15:C15"/>
    <mergeCell ref="B17:C17"/>
    <mergeCell ref="B16:C16"/>
    <mergeCell ref="B24:C24"/>
    <mergeCell ref="B21:C21"/>
    <mergeCell ref="B25:C25"/>
    <mergeCell ref="B22:C22"/>
  </mergeCells>
  <phoneticPr fontId="1" type="noConversion"/>
  <printOptions horizontalCentered="1"/>
  <pageMargins left="0.5" right="0.5" top="0.25" bottom="1" header="0.18" footer="0.27"/>
  <pageSetup scale="7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Detailed Project Budget</vt:lpstr>
      <vt:lpstr>'Detailed Project Budget'!Print_Area</vt:lpstr>
    </vt:vector>
  </TitlesOfParts>
  <Company>MN Legislature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dgriffit</dc:creator>
  <cp:lastModifiedBy>McGraw, Jeane Lynn</cp:lastModifiedBy>
  <cp:lastPrinted>2019-04-15T15:32:42Z</cp:lastPrinted>
  <dcterms:created xsi:type="dcterms:W3CDTF">2008-06-13T14:41:50Z</dcterms:created>
  <dcterms:modified xsi:type="dcterms:W3CDTF">2019-04-15T16:00:08Z</dcterms:modified>
</cp:coreProperties>
</file>