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455" firstSheet="5" activeTab="5"/>
  </bookViews>
  <sheets>
    <sheet name="Summary" sheetId="3" state="hidden" r:id="rId1"/>
    <sheet name="Activity 1" sheetId="8" state="hidden" r:id="rId2"/>
    <sheet name="Activity 2" sheetId="9" state="hidden" r:id="rId3"/>
    <sheet name="Actvity3" sheetId="10" state="hidden" r:id="rId4"/>
    <sheet name="SAFLrates" sheetId="2" state="hidden" r:id="rId5"/>
    <sheet name="Project Budget_template" sheetId="7" r:id="rId6"/>
  </sheets>
  <externalReferences>
    <externalReference r:id="rId7"/>
  </externalReferences>
  <definedNames>
    <definedName name="OverheadRate">[1]Rates!$I$4</definedName>
    <definedName name="_xlnm.Print_Area" localSheetId="5">'Project Budget_template'!$A$1:$E$61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7" l="1"/>
  <c r="E55" i="7"/>
  <c r="C46" i="7" l="1"/>
  <c r="AC59" i="8"/>
  <c r="U59" i="8"/>
  <c r="U62" i="8"/>
  <c r="U61" i="8"/>
  <c r="U60" i="8"/>
  <c r="AC63" i="8"/>
  <c r="AC62" i="8"/>
  <c r="AC61" i="8"/>
  <c r="AC60" i="8"/>
  <c r="U54" i="8"/>
  <c r="AC67" i="8"/>
  <c r="L41" i="9"/>
  <c r="C13" i="7"/>
  <c r="C21" i="7" l="1"/>
  <c r="C33" i="7" l="1"/>
  <c r="H34" i="10"/>
  <c r="AD10" i="9" l="1"/>
  <c r="AB10" i="9"/>
  <c r="AC10" i="9"/>
  <c r="AA10" i="9"/>
  <c r="Y10" i="9"/>
  <c r="Z10" i="9"/>
  <c r="AC8" i="10"/>
  <c r="AA8" i="10"/>
  <c r="X8" i="10"/>
  <c r="AB8" i="10"/>
  <c r="Z8" i="10"/>
  <c r="Y8" i="10"/>
  <c r="W8" i="10"/>
  <c r="T8" i="10"/>
  <c r="S8" i="10"/>
  <c r="T10" i="9"/>
  <c r="AT11" i="8"/>
  <c r="AR11" i="8"/>
  <c r="AS11" i="8"/>
  <c r="AQ11" i="8"/>
  <c r="AO11" i="8"/>
  <c r="AP11" i="8"/>
  <c r="AN11" i="8"/>
  <c r="AJ11" i="8"/>
  <c r="AK11" i="8" s="1"/>
  <c r="R18" i="8" l="1"/>
  <c r="N15" i="8"/>
  <c r="A47" i="7"/>
  <c r="R61" i="8"/>
  <c r="R60" i="8" s="1"/>
  <c r="N61" i="8"/>
  <c r="N60" i="8" s="1"/>
  <c r="T60" i="8" s="1"/>
  <c r="N18" i="8"/>
  <c r="T61" i="8" l="1"/>
  <c r="U39" i="8"/>
  <c r="U37" i="8"/>
  <c r="S38" i="8"/>
  <c r="M38" i="8"/>
  <c r="U36" i="8"/>
  <c r="AB14" i="8"/>
  <c r="A30" i="7"/>
  <c r="A31" i="7"/>
  <c r="A27" i="7"/>
  <c r="A28" i="7"/>
  <c r="A29" i="7"/>
  <c r="A26" i="7"/>
  <c r="AG33" i="8"/>
  <c r="AG32" i="8"/>
  <c r="AG31" i="8"/>
  <c r="AG30" i="8"/>
  <c r="AG29" i="8"/>
  <c r="AG28" i="8"/>
  <c r="AG27" i="8"/>
  <c r="AG26" i="8"/>
  <c r="Z20" i="8"/>
  <c r="Q21" i="8"/>
  <c r="O20" i="8"/>
  <c r="X27" i="8"/>
  <c r="X28" i="8"/>
  <c r="X29" i="8"/>
  <c r="X30" i="8"/>
  <c r="X31" i="8"/>
  <c r="X32" i="8"/>
  <c r="Z32" i="8" s="1"/>
  <c r="X33" i="8"/>
  <c r="X26" i="8"/>
  <c r="I27" i="8"/>
  <c r="I28" i="8"/>
  <c r="I29" i="8"/>
  <c r="I30" i="8"/>
  <c r="I31" i="8"/>
  <c r="I32" i="8"/>
  <c r="I33" i="8"/>
  <c r="I20" i="8"/>
  <c r="Q20" i="8" s="1"/>
  <c r="I21" i="8"/>
  <c r="S21" i="8" s="1"/>
  <c r="I19" i="8"/>
  <c r="O19" i="8" s="1"/>
  <c r="X20" i="8"/>
  <c r="X21" i="8"/>
  <c r="Z21" i="8" s="1"/>
  <c r="X19" i="8"/>
  <c r="Z19" i="8" s="1"/>
  <c r="W21" i="8"/>
  <c r="W20" i="8"/>
  <c r="W19" i="8"/>
  <c r="W18" i="8"/>
  <c r="W17" i="8"/>
  <c r="W16" i="8"/>
  <c r="W15" i="8"/>
  <c r="W14" i="8"/>
  <c r="H15" i="8"/>
  <c r="H16" i="8"/>
  <c r="H17" i="8"/>
  <c r="H18" i="8"/>
  <c r="H19" i="8"/>
  <c r="H20" i="8"/>
  <c r="H21" i="8"/>
  <c r="H14" i="8"/>
  <c r="I26" i="8"/>
  <c r="D19" i="8"/>
  <c r="F19" i="8" s="1"/>
  <c r="Z33" i="8" l="1"/>
  <c r="M20" i="8"/>
  <c r="Z31" i="8"/>
  <c r="M19" i="8"/>
  <c r="K21" i="8"/>
  <c r="O21" i="8"/>
  <c r="S19" i="8"/>
  <c r="K20" i="8"/>
  <c r="M21" i="8"/>
  <c r="Q19" i="8"/>
  <c r="S20" i="8"/>
  <c r="K19" i="8"/>
  <c r="U51" i="8"/>
  <c r="C31" i="7" s="1"/>
  <c r="U50" i="8"/>
  <c r="C30" i="7" s="1"/>
  <c r="U48" i="8" l="1"/>
  <c r="C29" i="7" s="1"/>
  <c r="U46" i="8"/>
  <c r="C28" i="7" s="1"/>
  <c r="U43" i="8"/>
  <c r="C27" i="7" s="1"/>
  <c r="U42" i="8"/>
  <c r="C26" i="7" s="1"/>
  <c r="S54" i="8"/>
  <c r="Q54" i="8"/>
  <c r="O54" i="8"/>
  <c r="M54" i="8"/>
  <c r="K54" i="8"/>
  <c r="F54" i="8"/>
  <c r="T21" i="8" l="1"/>
  <c r="U21" i="8" s="1"/>
  <c r="U33" i="8" s="1"/>
  <c r="S60" i="8"/>
  <c r="O60" i="8"/>
  <c r="D18" i="10"/>
  <c r="D17" i="10"/>
  <c r="D16" i="10"/>
  <c r="D12" i="9"/>
  <c r="D21" i="8"/>
  <c r="F21" i="8" s="1"/>
  <c r="D20" i="8"/>
  <c r="F20" i="8" s="1"/>
  <c r="AC11" i="9"/>
  <c r="AD11" i="9" s="1"/>
  <c r="AB11" i="9"/>
  <c r="Z11" i="9"/>
  <c r="AA11" i="9" s="1"/>
  <c r="Y11" i="9"/>
  <c r="W11" i="9"/>
  <c r="X11" i="9" s="1"/>
  <c r="U11" i="9"/>
  <c r="X10" i="9"/>
  <c r="U10" i="9"/>
  <c r="X19" i="2"/>
  <c r="AA19" i="2" s="1"/>
  <c r="AB19" i="2" s="1"/>
  <c r="X18" i="2"/>
  <c r="Y18" i="2" s="1"/>
  <c r="X11" i="2"/>
  <c r="AA11" i="2" s="1"/>
  <c r="AB11" i="2" s="1"/>
  <c r="X10" i="2"/>
  <c r="Y10" i="2" s="1"/>
  <c r="X5" i="2"/>
  <c r="Y5" i="2" s="1"/>
  <c r="Z5" i="2" s="1"/>
  <c r="W16" i="2"/>
  <c r="W8" i="2"/>
  <c r="V16" i="2"/>
  <c r="V8" i="2"/>
  <c r="V7" i="2"/>
  <c r="W7" i="2" s="1"/>
  <c r="Q23" i="2"/>
  <c r="D17" i="8" s="1"/>
  <c r="F17" i="8" s="1"/>
  <c r="Q22" i="2"/>
  <c r="Q21" i="2"/>
  <c r="R21" i="2" s="1"/>
  <c r="Q20" i="2"/>
  <c r="R20" i="2" s="1"/>
  <c r="Q19" i="2"/>
  <c r="R19" i="2" s="1"/>
  <c r="Q18" i="2"/>
  <c r="R18" i="2" s="1"/>
  <c r="Q17" i="2"/>
  <c r="Q16" i="2"/>
  <c r="R16" i="2" s="1"/>
  <c r="Q15" i="2"/>
  <c r="X15" i="2" s="1"/>
  <c r="Q14" i="2"/>
  <c r="Q13" i="2"/>
  <c r="Q12" i="2"/>
  <c r="R12" i="2" s="1"/>
  <c r="Q11" i="2"/>
  <c r="R11" i="2" s="1"/>
  <c r="Q10" i="2"/>
  <c r="R10" i="2" s="1"/>
  <c r="Q9" i="2"/>
  <c r="R9" i="2" s="1"/>
  <c r="Q8" i="2"/>
  <c r="R8" i="2" s="1"/>
  <c r="Q7" i="2"/>
  <c r="U7" i="2" s="1"/>
  <c r="Q6" i="2"/>
  <c r="V6" i="2" s="1"/>
  <c r="W6" i="2" s="1"/>
  <c r="Q5" i="2"/>
  <c r="V5" i="2" s="1"/>
  <c r="W5" i="2" s="1"/>
  <c r="Y15" i="2" l="1"/>
  <c r="AA15" i="2"/>
  <c r="AB15" i="2" s="1"/>
  <c r="R13" i="2"/>
  <c r="D15" i="8"/>
  <c r="F15" i="8" s="1"/>
  <c r="V14" i="2"/>
  <c r="W14" i="2" s="1"/>
  <c r="D16" i="8"/>
  <c r="V22" i="2"/>
  <c r="W22" i="2" s="1"/>
  <c r="D18" i="8"/>
  <c r="F18" i="8" s="1"/>
  <c r="V15" i="2"/>
  <c r="W15" i="2" s="1"/>
  <c r="X12" i="2"/>
  <c r="X20" i="2"/>
  <c r="X13" i="2"/>
  <c r="R15" i="2"/>
  <c r="V23" i="2"/>
  <c r="W23" i="2" s="1"/>
  <c r="Y11" i="2"/>
  <c r="AC11" i="2" s="1"/>
  <c r="X6" i="2"/>
  <c r="X14" i="2"/>
  <c r="X22" i="2"/>
  <c r="AA10" i="2"/>
  <c r="AB10" i="2" s="1"/>
  <c r="AA18" i="2"/>
  <c r="AB18" i="2" s="1"/>
  <c r="Y19" i="2"/>
  <c r="Z19" i="2" s="1"/>
  <c r="R17" i="2"/>
  <c r="D14" i="8"/>
  <c r="F14" i="8" s="1"/>
  <c r="R22" i="2"/>
  <c r="U22" i="2" s="1"/>
  <c r="X7" i="2"/>
  <c r="X23" i="2"/>
  <c r="U10" i="2"/>
  <c r="X8" i="2"/>
  <c r="X16" i="2"/>
  <c r="AA5" i="2"/>
  <c r="AB5" i="2" s="1"/>
  <c r="AC5" i="2" s="1"/>
  <c r="X21" i="2"/>
  <c r="U18" i="2"/>
  <c r="X9" i="2"/>
  <c r="X17" i="2"/>
  <c r="D11" i="9"/>
  <c r="U15" i="2"/>
  <c r="S33" i="8"/>
  <c r="F33" i="8"/>
  <c r="O33" i="8"/>
  <c r="K33" i="8"/>
  <c r="M33" i="8"/>
  <c r="Q33" i="8"/>
  <c r="AC18" i="2"/>
  <c r="Z18" i="2"/>
  <c r="Z10" i="2"/>
  <c r="AC10" i="2"/>
  <c r="AC15" i="2"/>
  <c r="Z15" i="2"/>
  <c r="AC19" i="2"/>
  <c r="U23" i="2"/>
  <c r="R23" i="2"/>
  <c r="U12" i="2"/>
  <c r="U20" i="2"/>
  <c r="V9" i="2"/>
  <c r="W9" i="2" s="1"/>
  <c r="V17" i="2"/>
  <c r="W17" i="2" s="1"/>
  <c r="U11" i="2"/>
  <c r="U19" i="2"/>
  <c r="U5" i="2"/>
  <c r="U13" i="2"/>
  <c r="U21" i="2"/>
  <c r="V10" i="2"/>
  <c r="W10" i="2" s="1"/>
  <c r="V18" i="2"/>
  <c r="W18" i="2" s="1"/>
  <c r="R5" i="2"/>
  <c r="V12" i="2"/>
  <c r="W12" i="2" s="1"/>
  <c r="V20" i="2"/>
  <c r="W20" i="2" s="1"/>
  <c r="V11" i="2"/>
  <c r="W11" i="2" s="1"/>
  <c r="R6" i="2"/>
  <c r="U6" i="2" s="1"/>
  <c r="U8" i="2"/>
  <c r="U16" i="2"/>
  <c r="V13" i="2"/>
  <c r="W13" i="2" s="1"/>
  <c r="V21" i="2"/>
  <c r="W21" i="2" s="1"/>
  <c r="V19" i="2"/>
  <c r="W19" i="2" s="1"/>
  <c r="R14" i="2"/>
  <c r="U14" i="2" s="1"/>
  <c r="U9" i="2"/>
  <c r="U17" i="2"/>
  <c r="C31" i="3"/>
  <c r="Y6" i="2" l="1"/>
  <c r="Z6" i="2" s="1"/>
  <c r="AA6" i="2"/>
  <c r="AB6" i="2" s="1"/>
  <c r="AC6" i="2" s="1"/>
  <c r="AA21" i="2"/>
  <c r="AB21" i="2" s="1"/>
  <c r="AC21" i="2" s="1"/>
  <c r="Y21" i="2"/>
  <c r="Z21" i="2" s="1"/>
  <c r="F16" i="8"/>
  <c r="C33" i="3"/>
  <c r="AA8" i="2"/>
  <c r="AB8" i="2" s="1"/>
  <c r="AC8" i="2" s="1"/>
  <c r="Y8" i="2"/>
  <c r="Z8" i="2" s="1"/>
  <c r="I15" i="8"/>
  <c r="AA13" i="2"/>
  <c r="Y13" i="2"/>
  <c r="Z13" i="2" s="1"/>
  <c r="AA20" i="2"/>
  <c r="AB20" i="2" s="1"/>
  <c r="AC20" i="2" s="1"/>
  <c r="Y20" i="2"/>
  <c r="Z20" i="2" s="1"/>
  <c r="Y16" i="2"/>
  <c r="Z16" i="2" s="1"/>
  <c r="AA16" i="2"/>
  <c r="AB16" i="2" s="1"/>
  <c r="AC16" i="2" s="1"/>
  <c r="Z11" i="2"/>
  <c r="I14" i="8"/>
  <c r="Y17" i="2"/>
  <c r="Z17" i="2" s="1"/>
  <c r="AA17" i="2"/>
  <c r="Y23" i="2"/>
  <c r="Z23" i="2" s="1"/>
  <c r="I17" i="8"/>
  <c r="AA23" i="2"/>
  <c r="Y22" i="2"/>
  <c r="Z22" i="2" s="1"/>
  <c r="I18" i="8"/>
  <c r="AA22" i="2"/>
  <c r="AA12" i="2"/>
  <c r="AB12" i="2" s="1"/>
  <c r="Y12" i="2"/>
  <c r="Y9" i="2"/>
  <c r="Z9" i="2" s="1"/>
  <c r="AA9" i="2"/>
  <c r="AB9" i="2" s="1"/>
  <c r="AC9" i="2" s="1"/>
  <c r="Y7" i="2"/>
  <c r="Z7" i="2" s="1"/>
  <c r="AA7" i="2"/>
  <c r="AB7" i="2" s="1"/>
  <c r="AC7" i="2" s="1"/>
  <c r="Y14" i="2"/>
  <c r="Z14" i="2" s="1"/>
  <c r="I16" i="8"/>
  <c r="AA14" i="2"/>
  <c r="C34" i="3"/>
  <c r="C32" i="3"/>
  <c r="AB21" i="8"/>
  <c r="AF33" i="8" s="1"/>
  <c r="K17" i="8" l="1"/>
  <c r="O17" i="8"/>
  <c r="S17" i="8"/>
  <c r="M17" i="8"/>
  <c r="Q17" i="8"/>
  <c r="AC12" i="2"/>
  <c r="Z12" i="2"/>
  <c r="X14" i="8"/>
  <c r="Z14" i="8" s="1"/>
  <c r="Z26" i="8" s="1"/>
  <c r="AB17" i="2"/>
  <c r="AC17" i="2" s="1"/>
  <c r="X17" i="8"/>
  <c r="Z17" i="8" s="1"/>
  <c r="Z29" i="8" s="1"/>
  <c r="AB23" i="2"/>
  <c r="AC23" i="2" s="1"/>
  <c r="X15" i="8"/>
  <c r="Z15" i="8" s="1"/>
  <c r="Z27" i="8" s="1"/>
  <c r="AB13" i="2"/>
  <c r="AC13" i="2" s="1"/>
  <c r="S18" i="8"/>
  <c r="Q18" i="8"/>
  <c r="O18" i="8"/>
  <c r="K18" i="8"/>
  <c r="M18" i="8"/>
  <c r="X16" i="8"/>
  <c r="Z16" i="8" s="1"/>
  <c r="Z28" i="8" s="1"/>
  <c r="AB14" i="2"/>
  <c r="AC14" i="2" s="1"/>
  <c r="K16" i="8"/>
  <c r="M16" i="8"/>
  <c r="Q16" i="8"/>
  <c r="X18" i="8"/>
  <c r="Z18" i="8" s="1"/>
  <c r="Z30" i="8" s="1"/>
  <c r="AB22" i="2"/>
  <c r="AC22" i="2" s="1"/>
  <c r="S14" i="8"/>
  <c r="M14" i="8"/>
  <c r="Q14" i="8"/>
  <c r="O14" i="8"/>
  <c r="K14" i="8"/>
  <c r="O15" i="8"/>
  <c r="K15" i="8"/>
  <c r="Q15" i="8"/>
  <c r="M15" i="8"/>
  <c r="AC33" i="8"/>
  <c r="AC21" i="8"/>
  <c r="J18" i="10"/>
  <c r="H18" i="10"/>
  <c r="C36" i="7"/>
  <c r="AC36" i="8"/>
  <c r="L35" i="10"/>
  <c r="L34" i="10"/>
  <c r="L26" i="9"/>
  <c r="C22" i="7" s="1"/>
  <c r="L25" i="9"/>
  <c r="F37" i="10"/>
  <c r="AE33" i="8" l="1"/>
  <c r="H30" i="10" l="1"/>
  <c r="J30" i="10"/>
  <c r="F18" i="10"/>
  <c r="K18" i="10"/>
  <c r="K30" i="10" s="1"/>
  <c r="Q32" i="8"/>
  <c r="Q31" i="8"/>
  <c r="T19" i="8"/>
  <c r="U19" i="8" s="1"/>
  <c r="U31" i="8" s="1"/>
  <c r="T20" i="8"/>
  <c r="U20" i="8" s="1"/>
  <c r="U32" i="8" s="1"/>
  <c r="F30" i="10" l="1"/>
  <c r="L18" i="10"/>
  <c r="U57" i="8"/>
  <c r="U56" i="8"/>
  <c r="U55" i="8"/>
  <c r="AB20" i="8"/>
  <c r="AF32" i="8" s="1"/>
  <c r="AB19" i="8"/>
  <c r="AF31" i="8" s="1"/>
  <c r="AB17" i="8"/>
  <c r="AF29" i="8" s="1"/>
  <c r="AF26" i="8"/>
  <c r="AC37" i="8"/>
  <c r="R15" i="8"/>
  <c r="S15" i="8" s="1"/>
  <c r="R16" i="8"/>
  <c r="S16" i="8" s="1"/>
  <c r="S61" i="8"/>
  <c r="S58" i="8"/>
  <c r="K14" i="3"/>
  <c r="S32" i="8"/>
  <c r="S29" i="8"/>
  <c r="S26" i="8"/>
  <c r="T17" i="8"/>
  <c r="U17" i="8" s="1"/>
  <c r="U29" i="8" s="1"/>
  <c r="T14" i="8"/>
  <c r="U14" i="8" s="1"/>
  <c r="U26" i="8" s="1"/>
  <c r="S30" i="8" l="1"/>
  <c r="S27" i="8"/>
  <c r="L30" i="10"/>
  <c r="N30" i="10" s="1"/>
  <c r="S31" i="8"/>
  <c r="S28" i="8"/>
  <c r="Y59" i="8"/>
  <c r="Z59" i="8" s="1"/>
  <c r="Z63" i="8" s="1"/>
  <c r="M15" i="3" s="1"/>
  <c r="J37" i="10"/>
  <c r="J39" i="10" s="1"/>
  <c r="M27" i="3" s="1"/>
  <c r="H37" i="10"/>
  <c r="H39" i="10" s="1"/>
  <c r="M26" i="3" s="1"/>
  <c r="F39" i="10"/>
  <c r="M25" i="3" s="1"/>
  <c r="J36" i="10"/>
  <c r="J27" i="3" s="1"/>
  <c r="H36" i="10"/>
  <c r="J26" i="3" s="1"/>
  <c r="F36" i="10"/>
  <c r="J25" i="3" s="1"/>
  <c r="K17" i="10"/>
  <c r="J17" i="10"/>
  <c r="J29" i="10" s="1"/>
  <c r="H17" i="10"/>
  <c r="H29" i="10" s="1"/>
  <c r="F17" i="10"/>
  <c r="K16" i="10"/>
  <c r="J16" i="10"/>
  <c r="J28" i="10" s="1"/>
  <c r="H16" i="10"/>
  <c r="H28" i="10" s="1"/>
  <c r="F16" i="10"/>
  <c r="F28" i="10" s="1"/>
  <c r="K15" i="10"/>
  <c r="J15" i="10"/>
  <c r="J27" i="10" s="1"/>
  <c r="H15" i="10"/>
  <c r="H27" i="10" s="1"/>
  <c r="F15" i="10"/>
  <c r="K14" i="10"/>
  <c r="J14" i="10"/>
  <c r="J26" i="10" s="1"/>
  <c r="H14" i="10"/>
  <c r="H26" i="10" s="1"/>
  <c r="F14" i="10"/>
  <c r="K13" i="10"/>
  <c r="J13" i="10"/>
  <c r="J25" i="10" s="1"/>
  <c r="H13" i="10"/>
  <c r="H25" i="10" s="1"/>
  <c r="F13" i="10"/>
  <c r="F25" i="10" s="1"/>
  <c r="K12" i="10"/>
  <c r="J12" i="10"/>
  <c r="J24" i="10" s="1"/>
  <c r="H12" i="10"/>
  <c r="H24" i="10" s="1"/>
  <c r="F12" i="10"/>
  <c r="K11" i="10"/>
  <c r="J11" i="10"/>
  <c r="J23" i="10" s="1"/>
  <c r="H11" i="10"/>
  <c r="H23" i="10" s="1"/>
  <c r="F11" i="10"/>
  <c r="K8" i="10"/>
  <c r="K40" i="9"/>
  <c r="J34" i="9"/>
  <c r="J37" i="9" s="1"/>
  <c r="M21" i="3" s="1"/>
  <c r="H34" i="9"/>
  <c r="H37" i="9" s="1"/>
  <c r="M20" i="3" s="1"/>
  <c r="F34" i="9"/>
  <c r="F37" i="9" s="1"/>
  <c r="M19" i="3" s="1"/>
  <c r="J33" i="9"/>
  <c r="K21" i="3" s="1"/>
  <c r="H33" i="9"/>
  <c r="K20" i="3" s="1"/>
  <c r="F33" i="9"/>
  <c r="K19" i="3" s="1"/>
  <c r="J28" i="9"/>
  <c r="J21" i="3" s="1"/>
  <c r="H28" i="9"/>
  <c r="F28" i="9"/>
  <c r="K13" i="9"/>
  <c r="K12" i="9"/>
  <c r="J12" i="9"/>
  <c r="J18" i="9" s="1"/>
  <c r="H12" i="9"/>
  <c r="H18" i="9" s="1"/>
  <c r="F12" i="9"/>
  <c r="F18" i="9" s="1"/>
  <c r="K11" i="9"/>
  <c r="J11" i="9"/>
  <c r="J17" i="9" s="1"/>
  <c r="H11" i="9"/>
  <c r="H17" i="9" s="1"/>
  <c r="F11" i="9"/>
  <c r="F17" i="9" s="1"/>
  <c r="K8" i="9"/>
  <c r="O88" i="8"/>
  <c r="AB66" i="8"/>
  <c r="Q59" i="8"/>
  <c r="Q63" i="8" s="1"/>
  <c r="M59" i="8"/>
  <c r="M63" i="8" s="1"/>
  <c r="K59" i="8"/>
  <c r="K63" i="8" s="1"/>
  <c r="E59" i="8"/>
  <c r="Z58" i="8"/>
  <c r="L15" i="3" s="1"/>
  <c r="U58" i="8"/>
  <c r="L9" i="3" s="1"/>
  <c r="Q58" i="8"/>
  <c r="O58" i="8"/>
  <c r="M58" i="8"/>
  <c r="K58" i="8"/>
  <c r="F58" i="8"/>
  <c r="L8" i="3" s="1"/>
  <c r="Z54" i="8"/>
  <c r="K15" i="3" s="1"/>
  <c r="K13" i="3"/>
  <c r="K8" i="3"/>
  <c r="K12" i="3"/>
  <c r="K38" i="8"/>
  <c r="U38" i="8" s="1"/>
  <c r="U40" i="8" s="1"/>
  <c r="Z40" i="8"/>
  <c r="J15" i="3" s="1"/>
  <c r="Q40" i="8"/>
  <c r="J13" i="3" s="1"/>
  <c r="O40" i="8"/>
  <c r="J12" i="3" s="1"/>
  <c r="F40" i="8"/>
  <c r="J8" i="3" s="1"/>
  <c r="O32" i="8"/>
  <c r="M32" i="8"/>
  <c r="M30" i="8"/>
  <c r="K30" i="8"/>
  <c r="Q29" i="8"/>
  <c r="O29" i="8"/>
  <c r="M29" i="8"/>
  <c r="K29" i="8"/>
  <c r="Q28" i="8"/>
  <c r="N16" i="8"/>
  <c r="O16" i="8" s="1"/>
  <c r="M28" i="8"/>
  <c r="K28" i="8"/>
  <c r="Q27" i="8"/>
  <c r="M27" i="8"/>
  <c r="K27" i="8"/>
  <c r="Q26" i="8"/>
  <c r="O26" i="8"/>
  <c r="M26" i="8"/>
  <c r="K26" i="8"/>
  <c r="AB11" i="8"/>
  <c r="E61" i="7"/>
  <c r="D51" i="7"/>
  <c r="E43" i="7"/>
  <c r="E41" i="7"/>
  <c r="E39" i="7"/>
  <c r="O90" i="8" l="1"/>
  <c r="O89" i="8"/>
  <c r="N59" i="8" s="1"/>
  <c r="AB16" i="8"/>
  <c r="AF28" i="8" s="1"/>
  <c r="AB15" i="8"/>
  <c r="AF27" i="8" s="1"/>
  <c r="AI27" i="8" s="1"/>
  <c r="T18" i="8"/>
  <c r="U18" i="8" s="1"/>
  <c r="U30" i="8" s="1"/>
  <c r="F26" i="8"/>
  <c r="AC26" i="8" s="1"/>
  <c r="AC14" i="8"/>
  <c r="F27" i="8"/>
  <c r="F30" i="8"/>
  <c r="AC17" i="8"/>
  <c r="F29" i="8"/>
  <c r="AC29" i="8" s="1"/>
  <c r="AC19" i="8"/>
  <c r="F31" i="8"/>
  <c r="AC31" i="8" s="1"/>
  <c r="F28" i="8"/>
  <c r="F32" i="8"/>
  <c r="AC20" i="8"/>
  <c r="K10" i="3"/>
  <c r="K32" i="8"/>
  <c r="K35" i="8" s="1"/>
  <c r="O61" i="8"/>
  <c r="AH59" i="8"/>
  <c r="M40" i="8"/>
  <c r="J11" i="3" s="1"/>
  <c r="F59" i="8"/>
  <c r="F63" i="8" s="1"/>
  <c r="AC38" i="8"/>
  <c r="C23" i="7" s="1"/>
  <c r="K40" i="8"/>
  <c r="J20" i="3"/>
  <c r="Q30" i="8"/>
  <c r="L28" i="9"/>
  <c r="M24" i="3"/>
  <c r="K24" i="3"/>
  <c r="K11" i="3"/>
  <c r="L36" i="10"/>
  <c r="L18" i="9"/>
  <c r="L33" i="9"/>
  <c r="L12" i="10"/>
  <c r="L14" i="10"/>
  <c r="L17" i="10"/>
  <c r="N29" i="10" s="1"/>
  <c r="T15" i="8"/>
  <c r="U15" i="8" s="1"/>
  <c r="U27" i="8" s="1"/>
  <c r="J19" i="3"/>
  <c r="AB18" i="8"/>
  <c r="AF30" i="8" s="1"/>
  <c r="AC58" i="8"/>
  <c r="L17" i="9"/>
  <c r="L15" i="10"/>
  <c r="T16" i="8"/>
  <c r="U16" i="8" s="1"/>
  <c r="U28" i="8" s="1"/>
  <c r="S35" i="8"/>
  <c r="J24" i="3"/>
  <c r="L7" i="3"/>
  <c r="M18" i="3"/>
  <c r="K18" i="3"/>
  <c r="C32" i="7" s="1"/>
  <c r="L25" i="10"/>
  <c r="L28" i="10"/>
  <c r="L39" i="10"/>
  <c r="J33" i="10"/>
  <c r="L13" i="10"/>
  <c r="L16" i="10"/>
  <c r="F23" i="10"/>
  <c r="L23" i="10" s="1"/>
  <c r="F24" i="10"/>
  <c r="L24" i="10" s="1"/>
  <c r="F26" i="10"/>
  <c r="L26" i="10" s="1"/>
  <c r="F27" i="10"/>
  <c r="L27" i="10" s="1"/>
  <c r="F29" i="10"/>
  <c r="L29" i="10" s="1"/>
  <c r="L11" i="10"/>
  <c r="H33" i="10"/>
  <c r="L37" i="9"/>
  <c r="L11" i="9"/>
  <c r="L12" i="9"/>
  <c r="O27" i="8"/>
  <c r="M35" i="8"/>
  <c r="O28" i="8"/>
  <c r="R59" i="8" l="1"/>
  <c r="O59" i="8"/>
  <c r="N98" i="8"/>
  <c r="N62" i="8"/>
  <c r="K65" i="8"/>
  <c r="J10" i="3"/>
  <c r="M65" i="8"/>
  <c r="AC54" i="8"/>
  <c r="K9" i="3"/>
  <c r="K7" i="3" s="1"/>
  <c r="AC27" i="8"/>
  <c r="AC15" i="8"/>
  <c r="AC16" i="8"/>
  <c r="AC32" i="8"/>
  <c r="AE32" i="8" s="1"/>
  <c r="AC28" i="8"/>
  <c r="AC18" i="8"/>
  <c r="N28" i="10"/>
  <c r="P11" i="9"/>
  <c r="P10" i="9"/>
  <c r="S40" i="8"/>
  <c r="J18" i="3"/>
  <c r="AE31" i="8"/>
  <c r="AE29" i="8"/>
  <c r="M8" i="3"/>
  <c r="I26" i="3"/>
  <c r="I27" i="3"/>
  <c r="Z35" i="8"/>
  <c r="I15" i="3" s="1"/>
  <c r="Q35" i="8"/>
  <c r="Q65" i="8" s="1"/>
  <c r="L32" i="10"/>
  <c r="L20" i="10"/>
  <c r="F33" i="10"/>
  <c r="O30" i="8"/>
  <c r="AC30" i="8" s="1"/>
  <c r="F35" i="8"/>
  <c r="R62" i="8" l="1"/>
  <c r="O62" i="8"/>
  <c r="T59" i="8"/>
  <c r="S59" i="8"/>
  <c r="AE59" i="8"/>
  <c r="J9" i="3"/>
  <c r="J7" i="3" s="1"/>
  <c r="U35" i="8"/>
  <c r="I9" i="3" s="1"/>
  <c r="AC40" i="8"/>
  <c r="J14" i="3"/>
  <c r="AE27" i="8"/>
  <c r="B33" i="3" s="1"/>
  <c r="AE30" i="8"/>
  <c r="B34" i="3" s="1"/>
  <c r="AC23" i="8"/>
  <c r="B31" i="3"/>
  <c r="AC34" i="8"/>
  <c r="AE28" i="8"/>
  <c r="AE26" i="8"/>
  <c r="B32" i="3" s="1"/>
  <c r="L33" i="10"/>
  <c r="Z65" i="8"/>
  <c r="I25" i="3"/>
  <c r="I24" i="3" s="1"/>
  <c r="N24" i="3" s="1"/>
  <c r="F65" i="8"/>
  <c r="I8" i="3"/>
  <c r="O35" i="8"/>
  <c r="D34" i="3" l="1"/>
  <c r="D32" i="3"/>
  <c r="AH27" i="8"/>
  <c r="D31" i="3"/>
  <c r="O63" i="8"/>
  <c r="O65" i="8" s="1"/>
  <c r="O66" i="8" s="1"/>
  <c r="T62" i="8"/>
  <c r="S62" i="8"/>
  <c r="S63" i="8" s="1"/>
  <c r="D33" i="3"/>
  <c r="I7" i="3"/>
  <c r="L43" i="10"/>
  <c r="L44" i="10" s="1"/>
  <c r="AC35" i="8"/>
  <c r="M12" i="3" l="1"/>
  <c r="AC68" i="8"/>
  <c r="M14" i="3"/>
  <c r="S65" i="8"/>
  <c r="S66" i="8" s="1"/>
  <c r="U63" i="8"/>
  <c r="C51" i="7" s="1"/>
  <c r="C35" i="3"/>
  <c r="H13" i="9"/>
  <c r="H19" i="9" s="1"/>
  <c r="H22" i="9" s="1"/>
  <c r="J13" i="9"/>
  <c r="J19" i="9" s="1"/>
  <c r="T12" i="9"/>
  <c r="Y12" i="9" s="1"/>
  <c r="F13" i="9"/>
  <c r="F19" i="9" s="1"/>
  <c r="M9" i="3" l="1"/>
  <c r="M7" i="3" s="1"/>
  <c r="N7" i="3" s="1"/>
  <c r="U65" i="8"/>
  <c r="L19" i="9"/>
  <c r="L21" i="9" s="1"/>
  <c r="AB12" i="9"/>
  <c r="AC12" i="9" s="1"/>
  <c r="AD12" i="9" s="1"/>
  <c r="Z12" i="9"/>
  <c r="AA12" i="9" s="1"/>
  <c r="H39" i="9"/>
  <c r="I20" i="3"/>
  <c r="W12" i="9"/>
  <c r="X12" i="9" s="1"/>
  <c r="J22" i="9"/>
  <c r="L13" i="9"/>
  <c r="U12" i="9"/>
  <c r="F22" i="9"/>
  <c r="P12" i="9" l="1"/>
  <c r="B35" i="3" s="1"/>
  <c r="L15" i="9"/>
  <c r="L22" i="9" s="1"/>
  <c r="J39" i="9"/>
  <c r="I21" i="3"/>
  <c r="I19" i="3"/>
  <c r="F39" i="9"/>
  <c r="B36" i="3" l="1"/>
  <c r="I18" i="3"/>
  <c r="N18" i="3" s="1"/>
  <c r="N29" i="3" s="1"/>
  <c r="N30" i="3" s="1"/>
  <c r="L42" i="9"/>
  <c r="D35" i="3"/>
</calcChain>
</file>

<file path=xl/sharedStrings.xml><?xml version="1.0" encoding="utf-8"?>
<sst xmlns="http://schemas.openxmlformats.org/spreadsheetml/2006/main" count="672" uniqueCount="339">
  <si>
    <t>Project:</t>
  </si>
  <si>
    <t>Jeff Marr</t>
  </si>
  <si>
    <t>Salary</t>
  </si>
  <si>
    <t>Aaron Ketchmark</t>
  </si>
  <si>
    <t>Fringe</t>
  </si>
  <si>
    <t>Hourly Rate</t>
  </si>
  <si>
    <t>hours</t>
  </si>
  <si>
    <t>cost</t>
  </si>
  <si>
    <t>($/hr)</t>
  </si>
  <si>
    <t>Student</t>
  </si>
  <si>
    <t>Supplies</t>
  </si>
  <si>
    <t>TOTAL</t>
  </si>
  <si>
    <t>Subtotal Salary</t>
  </si>
  <si>
    <t>Subtotal Fringe</t>
  </si>
  <si>
    <t>Total Salary and Fringe</t>
  </si>
  <si>
    <t>Subtotal Supplies</t>
  </si>
  <si>
    <t>Total Direct</t>
  </si>
  <si>
    <t>Date:</t>
  </si>
  <si>
    <t>Scientist</t>
  </si>
  <si>
    <t>Engineer</t>
  </si>
  <si>
    <t>Subtotal Travel</t>
  </si>
  <si>
    <t>USED FOR SPONSORED PROJECTS</t>
  </si>
  <si>
    <t>FY 2019 - actual</t>
  </si>
  <si>
    <t>hrly rate</t>
  </si>
  <si>
    <t>Fringe Class</t>
  </si>
  <si>
    <t>frg</t>
  </si>
  <si>
    <t>Total</t>
  </si>
  <si>
    <t>With IDC</t>
  </si>
  <si>
    <t>base</t>
  </si>
  <si>
    <t>Fringe rates:</t>
  </si>
  <si>
    <t>Arnold, Patrick</t>
  </si>
  <si>
    <t>Civil Service</t>
  </si>
  <si>
    <t>Faculty/acad</t>
  </si>
  <si>
    <t>Christopher, Richard</t>
  </si>
  <si>
    <t>Ellis, Chris</t>
  </si>
  <si>
    <t>Temp/casual</t>
  </si>
  <si>
    <t>Erickson, Andy</t>
  </si>
  <si>
    <t>Post docs</t>
  </si>
  <si>
    <t>Erickson, Ben</t>
  </si>
  <si>
    <t>Grad students</t>
  </si>
  <si>
    <t>*health component only</t>
  </si>
  <si>
    <t>Feist, Chris</t>
  </si>
  <si>
    <t>Undergrads</t>
  </si>
  <si>
    <t>Gabrielson, Rob</t>
  </si>
  <si>
    <t>Heitkamp, Barbara</t>
  </si>
  <si>
    <t>Hernick, Matt</t>
  </si>
  <si>
    <t>Ketchmark, Aaron</t>
  </si>
  <si>
    <t>Kozarek, Jess</t>
  </si>
  <si>
    <t>Lueker, Matthew</t>
  </si>
  <si>
    <t>Marr, Jeff</t>
  </si>
  <si>
    <t>Marttinen, Dale</t>
  </si>
  <si>
    <t>Milliren, Chris</t>
  </si>
  <si>
    <t>Mullin, James</t>
  </si>
  <si>
    <t>Steen, Erik</t>
  </si>
  <si>
    <t>Tucker, James (50% appt)</t>
  </si>
  <si>
    <t>Overhead Rate = FY19</t>
  </si>
  <si>
    <t>Jim Tucker</t>
  </si>
  <si>
    <t>LCCMR_Sara Heger et al</t>
  </si>
  <si>
    <t>Project dates</t>
  </si>
  <si>
    <t>start</t>
  </si>
  <si>
    <t>end</t>
  </si>
  <si>
    <t>Matt Hernick</t>
  </si>
  <si>
    <t>SAFL Undergrad</t>
  </si>
  <si>
    <t>Sara Heger</t>
  </si>
  <si>
    <t>WRC Staff</t>
  </si>
  <si>
    <t>Total Indirect 54%</t>
  </si>
  <si>
    <t>(Match)</t>
  </si>
  <si>
    <t>Budget by: M. Hernick</t>
  </si>
  <si>
    <t>Task 1.1</t>
  </si>
  <si>
    <t>Task 1.2A</t>
  </si>
  <si>
    <t>Task 1.2B</t>
  </si>
  <si>
    <t>Task 1.2C</t>
  </si>
  <si>
    <t>Task 1.3</t>
  </si>
  <si>
    <t>Task 1.2D</t>
  </si>
  <si>
    <t>Disseminate results</t>
  </si>
  <si>
    <t>Literature</t>
  </si>
  <si>
    <t>Trailer - capital</t>
  </si>
  <si>
    <t>Plumbing</t>
  </si>
  <si>
    <t>Electrical</t>
  </si>
  <si>
    <t>Wtr Heating</t>
  </si>
  <si>
    <t>Furnishing</t>
  </si>
  <si>
    <t>Treatment devices</t>
  </si>
  <si>
    <t>Signage</t>
  </si>
  <si>
    <t>Test kits</t>
  </si>
  <si>
    <t>Mileage</t>
  </si>
  <si>
    <t>Task 1.2</t>
  </si>
  <si>
    <t>Five sites</t>
  </si>
  <si>
    <t>total</t>
  </si>
  <si>
    <t>Lodging</t>
  </si>
  <si>
    <t>Tow vehicle - fleet rental</t>
  </si>
  <si>
    <t>$51/day + .40/mile</t>
  </si>
  <si>
    <t>Trailer 7x16x7 high</t>
  </si>
  <si>
    <t>per site (5)</t>
  </si>
  <si>
    <t>assume 2 hotel nights per site</t>
  </si>
  <si>
    <t>(one per trip)</t>
  </si>
  <si>
    <t>Control &amp; data system</t>
  </si>
  <si>
    <t>Chemicals (HNO3, )</t>
  </si>
  <si>
    <t>Remote communications</t>
  </si>
  <si>
    <t>Task 1.2 Summary</t>
  </si>
  <si>
    <t>Decommission trlr</t>
  </si>
  <si>
    <t>Task 2.1</t>
  </si>
  <si>
    <t>Task 2.2</t>
  </si>
  <si>
    <t>Task 2.3</t>
  </si>
  <si>
    <t>Wireframe of online tool completed</t>
  </si>
  <si>
    <t>Online tool completed</t>
  </si>
  <si>
    <t>Tool is refined as needed base on feedback and results from Activity 1</t>
  </si>
  <si>
    <t>Task 3.1</t>
  </si>
  <si>
    <t>Task 3.2</t>
  </si>
  <si>
    <t>Task 3.3</t>
  </si>
  <si>
    <t xml:space="preserve">Identify two communities </t>
  </si>
  <si>
    <t>Two communities implemented chloride reduction strategy</t>
  </si>
  <si>
    <t>Case studies completed and tools developed</t>
  </si>
  <si>
    <t>Activity 1</t>
  </si>
  <si>
    <r>
      <t xml:space="preserve">Activity 1:  </t>
    </r>
    <r>
      <rPr>
        <b/>
        <sz val="11"/>
        <color rgb="FF222222"/>
        <rFont val="Calibri"/>
        <family val="2"/>
        <scheme val="minor"/>
      </rPr>
      <t>Test non-salt hardness reduction and non-scaling techniques</t>
    </r>
  </si>
  <si>
    <t>Activity 2</t>
  </si>
  <si>
    <t>Develop protocol with stakeholders</t>
  </si>
  <si>
    <t>Test non-salt alternatives</t>
  </si>
  <si>
    <t xml:space="preserve">  Task 1.2A</t>
  </si>
  <si>
    <t xml:space="preserve">  Task 1.2B</t>
  </si>
  <si>
    <t xml:space="preserve">  Task 1.2C</t>
  </si>
  <si>
    <t xml:space="preserve">  Task 1.2D</t>
  </si>
  <si>
    <t xml:space="preserve">  Design and build test rig</t>
  </si>
  <si>
    <t xml:space="preserve">  Initial testing and modifications</t>
  </si>
  <si>
    <t xml:space="preserve">  Reporting</t>
  </si>
  <si>
    <r>
      <t>Activity 2:  Develop online tool for homeowners to reduce water softening salt</t>
    </r>
    <r>
      <rPr>
        <sz val="8"/>
        <color theme="1"/>
        <rFont val="Calibri"/>
        <family val="2"/>
        <scheme val="minor"/>
      </rPr>
      <t> </t>
    </r>
  </si>
  <si>
    <r>
      <t xml:space="preserve">Activity 3:  </t>
    </r>
    <r>
      <rPr>
        <b/>
        <sz val="11"/>
        <color rgb="FF222222"/>
        <rFont val="Calibri"/>
        <family val="2"/>
        <scheme val="minor"/>
      </rPr>
      <t>Community level chloride reduction strategies</t>
    </r>
    <r>
      <rPr>
        <sz val="8"/>
        <color theme="1"/>
        <rFont val="Calibri"/>
        <family val="2"/>
        <scheme val="minor"/>
      </rPr>
      <t> </t>
    </r>
  </si>
  <si>
    <t>Equipment, Tools and Supplies</t>
  </si>
  <si>
    <t>Professional/Technical/Service Contracts</t>
  </si>
  <si>
    <t>Total Service Contracts</t>
  </si>
  <si>
    <t>Travel in Minnesota</t>
  </si>
  <si>
    <t>Capital Expenditures Over $5,000</t>
  </si>
  <si>
    <t>Subtotal Capital Exp.</t>
  </si>
  <si>
    <t>Attachment A: Project Budget Spreadsheet</t>
  </si>
  <si>
    <t>Environment and Natural Resources Trust Fund</t>
  </si>
  <si>
    <t>M.L. 2020 Budget Spreadsheet</t>
  </si>
  <si>
    <t>Legal Citation:</t>
  </si>
  <si>
    <t>ENVIRONMENT AND NATURAL RESOURCES TRUST FUND BUDGET</t>
  </si>
  <si>
    <t>Budget</t>
  </si>
  <si>
    <t>Amount Spent</t>
  </si>
  <si>
    <t xml:space="preserve">
Balance</t>
  </si>
  <si>
    <t>BUDGET ITEM</t>
  </si>
  <si>
    <t>Personnel (Wages and Benefits)</t>
  </si>
  <si>
    <t>Equipment/Tools/Supplies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</si>
  <si>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</si>
  <si>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</si>
  <si>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</si>
  <si>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</si>
  <si>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</si>
  <si>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COLUMN TOTAL</t>
  </si>
  <si>
    <t xml:space="preserve">SOURCE AND USE OF OTHER FUNDS CONTRIBUTED TO THE PROJECT
</t>
  </si>
  <si>
    <t>Status (secured or pending)</t>
  </si>
  <si>
    <t xml:space="preserve"> Budget</t>
  </si>
  <si>
    <t>Spent</t>
  </si>
  <si>
    <t>Balance</t>
  </si>
  <si>
    <t>In kind:</t>
  </si>
  <si>
    <t xml:space="preserve">Other ENRTF APPROPRIATIONS AWARDED IN THE LAST SIX YEARS
</t>
  </si>
  <si>
    <t>Amount legally obligated but not yet spent</t>
  </si>
  <si>
    <t>Salary &amp; Fringe</t>
  </si>
  <si>
    <t>Contracts</t>
  </si>
  <si>
    <t>Equip. &amp; supplies</t>
  </si>
  <si>
    <t>Capital</t>
  </si>
  <si>
    <t xml:space="preserve">Travel </t>
  </si>
  <si>
    <t>by task</t>
  </si>
  <si>
    <r>
      <t>Reducing Chloride in Minnesota’s Water from Water Softening</t>
    </r>
    <r>
      <rPr>
        <sz val="8"/>
        <color theme="1"/>
        <rFont val="Calibri"/>
        <family val="2"/>
        <scheme val="minor"/>
      </rPr>
      <t> </t>
    </r>
  </si>
  <si>
    <t xml:space="preserve">Budget by: </t>
  </si>
  <si>
    <t>Task 1.2E</t>
  </si>
  <si>
    <t xml:space="preserve">  Field testing, season 1</t>
  </si>
  <si>
    <t xml:space="preserve">  Task 1.2E</t>
  </si>
  <si>
    <t xml:space="preserve">  Field testing, season 2</t>
  </si>
  <si>
    <t>TASK ADDED 3/11/2019</t>
  </si>
  <si>
    <t>Initial methods report</t>
  </si>
  <si>
    <t>Brief data summary after each site</t>
  </si>
  <si>
    <t>Reporting:</t>
  </si>
  <si>
    <t>Season end summary and initial recommendation</t>
  </si>
  <si>
    <t>second season</t>
  </si>
  <si>
    <t>similar to first (5 sites)</t>
  </si>
  <si>
    <t>add some time for startup</t>
  </si>
  <si>
    <t>and cost for repair/enhancements</t>
  </si>
  <si>
    <t>could also be used for new techs</t>
  </si>
  <si>
    <t>Fortin</t>
  </si>
  <si>
    <t>Developer</t>
  </si>
  <si>
    <t>WRC Editor</t>
  </si>
  <si>
    <t>Professior</t>
  </si>
  <si>
    <t>Editor</t>
  </si>
  <si>
    <t>Software</t>
  </si>
  <si>
    <t>Domain Fee</t>
  </si>
  <si>
    <t>Subotal Salary</t>
  </si>
  <si>
    <t>Activity 2:  Assist Communities</t>
  </si>
  <si>
    <t>Project Manager:  Dr. Sara Heger</t>
  </si>
  <si>
    <t>Organization: University of Minnesota</t>
  </si>
  <si>
    <t>Summary per person</t>
  </si>
  <si>
    <t>Summary by staff type</t>
  </si>
  <si>
    <t>Jeff</t>
  </si>
  <si>
    <t xml:space="preserve">Editor </t>
  </si>
  <si>
    <t>Researchers</t>
  </si>
  <si>
    <t>Sara</t>
  </si>
  <si>
    <t xml:space="preserve">Travel expenses in Minnesota per UMN policy </t>
  </si>
  <si>
    <t>Total funding</t>
  </si>
  <si>
    <t>Total Salary/3 years</t>
  </si>
  <si>
    <t>%</t>
  </si>
  <si>
    <t>Water Quality Lab</t>
  </si>
  <si>
    <t>Total miles</t>
  </si>
  <si>
    <t>Total hotel nights</t>
  </si>
  <si>
    <t>Total Indirect</t>
  </si>
  <si>
    <t>(match)</t>
  </si>
  <si>
    <t>hrly fringe rate</t>
  </si>
  <si>
    <t>FY20 Fringe Rate</t>
  </si>
  <si>
    <t xml:space="preserve">Total Hourly </t>
  </si>
  <si>
    <t xml:space="preserve">FY21 Annual base </t>
  </si>
  <si>
    <t>FY21 Fringe</t>
  </si>
  <si>
    <t>FY22 Annual Fringe</t>
  </si>
  <si>
    <t>FY23 Annual Base 3% increase</t>
  </si>
  <si>
    <t>FY22 Annual Base 3% increase</t>
  </si>
  <si>
    <t>FY 23 Annual Fringe</t>
  </si>
  <si>
    <t>FY21 hrly rate with 6% increase</t>
  </si>
  <si>
    <t xml:space="preserve">FY22 hourly Rate with 3% increase </t>
  </si>
  <si>
    <t>FY23 hourly rate with 3% increase</t>
  </si>
  <si>
    <t xml:space="preserve">FY21  Rates with 3% increase per year </t>
  </si>
  <si>
    <t xml:space="preserve">Fringe Rate </t>
  </si>
  <si>
    <t>FY21 Hourly Amount</t>
  </si>
  <si>
    <t>FY21 Annual Salary</t>
  </si>
  <si>
    <t>FY21 Annual Fringe</t>
  </si>
  <si>
    <t>FY23 hourly with 3% increase</t>
  </si>
  <si>
    <t xml:space="preserve">FY 23 Annual Fringe </t>
  </si>
  <si>
    <r>
      <t>Activity 2:  Develop online tool for homeowners to reduce water softening salt</t>
    </r>
    <r>
      <rPr>
        <sz val="11"/>
        <color theme="1"/>
        <rFont val="Calibri"/>
        <family val="2"/>
        <scheme val="minor"/>
      </rPr>
      <t> </t>
    </r>
  </si>
  <si>
    <t>FY21 Hourly Fringe</t>
  </si>
  <si>
    <t>FY22 hourly with 3% increase</t>
  </si>
  <si>
    <t xml:space="preserve">FY22  Annual Salary </t>
  </si>
  <si>
    <t>FY23 Annual Salary</t>
  </si>
  <si>
    <t>07/01/2020 - 06/30/2021</t>
  </si>
  <si>
    <t>07/01/2021 - 06/30/2022</t>
  </si>
  <si>
    <t>07/01/2022 - 06/30/2023</t>
  </si>
  <si>
    <t>per diem</t>
  </si>
  <si>
    <t>Dept ID</t>
  </si>
  <si>
    <t>Emplid/ Account</t>
  </si>
  <si>
    <t>1883998/700201</t>
  </si>
  <si>
    <t>3573878/700501</t>
  </si>
  <si>
    <t>1279412/700201</t>
  </si>
  <si>
    <t>1195666/700501</t>
  </si>
  <si>
    <t>3673604/700501</t>
  </si>
  <si>
    <t>3760653/700501</t>
  </si>
  <si>
    <t>4588165/700501</t>
  </si>
  <si>
    <t>2668505/700501</t>
  </si>
  <si>
    <t>3915777/700501</t>
  </si>
  <si>
    <t>4362656/700201</t>
  </si>
  <si>
    <t>2279336/700501</t>
  </si>
  <si>
    <t>1558686/700202</t>
  </si>
  <si>
    <t>4009228/700501</t>
  </si>
  <si>
    <t>3693048/700501</t>
  </si>
  <si>
    <t>2108398/700531</t>
  </si>
  <si>
    <t>2610287/700501</t>
  </si>
  <si>
    <t>1340794/700501</t>
  </si>
  <si>
    <t>4x (out-back x 2)</t>
  </si>
  <si>
    <t>Maintenance, repairs, modifications</t>
  </si>
  <si>
    <t>Treatment systems</t>
  </si>
  <si>
    <t>Control and data system, remote communication</t>
  </si>
  <si>
    <t>Water tests, chemicals, supplies</t>
  </si>
  <si>
    <t>Plumbing, water heating and electrical</t>
  </si>
  <si>
    <t>Furnishing, signage, safety equip.</t>
  </si>
  <si>
    <t>Plumb mod</t>
  </si>
  <si>
    <t>Elect mod</t>
  </si>
  <si>
    <t>Data mod</t>
  </si>
  <si>
    <t>Maint. and storage</t>
  </si>
  <si>
    <t>Maint. 2nd season</t>
  </si>
  <si>
    <t>plumb 2nd seas</t>
  </si>
  <si>
    <t>elec 2nd seaso</t>
  </si>
  <si>
    <t>for onboard/simple chemical testing</t>
  </si>
  <si>
    <t>Contract lab to analyze water quality samples hired through UMN contracting.</t>
  </si>
  <si>
    <t>FY 2021</t>
  </si>
  <si>
    <t>FY 2022</t>
  </si>
  <si>
    <t>FY 2023</t>
  </si>
  <si>
    <t>Task 1.1 is in FY 2021</t>
  </si>
  <si>
    <t>Assume Task 1.2 is all FY 2022 (actually part 21, all of 22, part 23)</t>
  </si>
  <si>
    <t>Task 1.3 is in FY 2023</t>
  </si>
  <si>
    <t>Assume fringe is same as 2019, mileage .58</t>
  </si>
  <si>
    <t>Budget by: M. Hernick et al</t>
  </si>
  <si>
    <t>SAFL Assumptions:</t>
  </si>
  <si>
    <t>FY 2019 hourly</t>
  </si>
  <si>
    <t>subtask</t>
  </si>
  <si>
    <t>Assume 3% per year (match WRC)</t>
  </si>
  <si>
    <t>Staff</t>
  </si>
  <si>
    <t>rate</t>
  </si>
  <si>
    <t>$/hr</t>
  </si>
  <si>
    <t xml:space="preserve">FTE = </t>
  </si>
  <si>
    <t>hours/year</t>
  </si>
  <si>
    <t>Fringe %</t>
  </si>
  <si>
    <t>% FTE over 3 years</t>
  </si>
  <si>
    <t>Sal + frg</t>
  </si>
  <si>
    <t>for outside lab chemical testing</t>
  </si>
  <si>
    <t>Software, domain fees</t>
  </si>
  <si>
    <t>Mobile test unit plumbing, water heating and electrical</t>
  </si>
  <si>
    <t>Mobile test unit furnishing, signage, safety equip.</t>
  </si>
  <si>
    <t>Mobile test unit maintenance, repairs, modifications</t>
  </si>
  <si>
    <t>Mobile test unit control and data system, remote communication</t>
  </si>
  <si>
    <t>Salt-free alternative water conditioning systems</t>
  </si>
  <si>
    <t>$50 per samp x 4 device x 4 samp x 5 sites</t>
  </si>
  <si>
    <t>Chemicals, water test kits, supplies</t>
  </si>
  <si>
    <t>Travel - assume five sites outstate</t>
  </si>
  <si>
    <t>Deploy +/- one month each, June - October</t>
  </si>
  <si>
    <t>Probably one intermediate trip</t>
  </si>
  <si>
    <t>Prep trailer at lab, travel to site, set up, start test</t>
  </si>
  <si>
    <t>Assume an overnight is required for 4 of 5</t>
  </si>
  <si>
    <t>At end of test, clean up, similar to start up</t>
  </si>
  <si>
    <t>Haul trailer to next site (back to lab assumed)</t>
  </si>
  <si>
    <t>totals</t>
  </si>
  <si>
    <t>Tow vehicle 2 trips  per site</t>
  </si>
  <si>
    <t>based on miles above</t>
  </si>
  <si>
    <t>Small vehicle one trip per site - pay mileage rate of 0.58</t>
  </si>
  <si>
    <t>Mileage - car</t>
  </si>
  <si>
    <t>Tow vehicle per mile</t>
  </si>
  <si>
    <t>car visit</t>
  </si>
  <si>
    <t>Activity 1 - 3,520 miles at $0.58/mile for 10 outstate sites ($2,042), 7,040 miles at $1/mile tow vehicle for mobile test trailer ($7,040), 16 hotel nights @ $80/night ($1,280), and 32 first/last day per diem @$41.25 ($1,320)</t>
  </si>
  <si>
    <t>Research Scientists</t>
  </si>
  <si>
    <t>could use FY 2022 rate</t>
  </si>
  <si>
    <t>Text for template</t>
  </si>
  <si>
    <t>Student Worker, $7,803 (100% salary), 10.7% per year for 3 years</t>
  </si>
  <si>
    <t>Text for Template</t>
  </si>
  <si>
    <t>But, say $1 per mile for towing</t>
  </si>
  <si>
    <t>Secured</t>
  </si>
  <si>
    <t>Equipment</t>
  </si>
  <si>
    <t>Tool development expert with be hired through a completive bid process following UMN Policies.</t>
  </si>
  <si>
    <t>Enclosed trailer (approx. 7'x16') to build mobile test unit for salt-free softener alternatives</t>
  </si>
  <si>
    <t>Activity 3 - 1,000 miles to visit 2 communities at $0.58/mile ($580)</t>
  </si>
  <si>
    <t>Madison Metropolitan Sewerage District, Kathy Lake, Pollution Prevention Manager will provide expertise related to the water softener chloride reduction programs in place in Madison, WI.</t>
  </si>
  <si>
    <t xml:space="preserve">Minnesota Water Quality Association, Scott Schiesser, President, Expertise in alternative testing protocol and online tool development
 </t>
  </si>
  <si>
    <t>Today's Date:  4/8/19</t>
  </si>
  <si>
    <t>Water softener replacement/rebate program removal in one of the two communities (50 homes at $1,000/ home)</t>
  </si>
  <si>
    <t>Editor, $1,674, (70.5% salary, 29.5% benefits), 1% FTE  for 3 years ( $1,292.66 salary + $381.33 benefits)</t>
  </si>
  <si>
    <t xml:space="preserve">Dr. Sara Heger/Project PI, $33,595 (64% salary, 36% benefits), 9.3% FTE each year for 3 of years </t>
  </si>
  <si>
    <t xml:space="preserve">Jeff Marr/Engineer, $9,373 (64% salary, 36% benefits), 1.9% FTE each year for 3 of years </t>
  </si>
  <si>
    <t>pending</t>
  </si>
  <si>
    <t>Minnesota Pollution Control Agency, Brooke Asleson, Water Pollution Prevention Coordinator will provide expertise in development of tool and assist with community salt reduction strategies with 0.10 FTE over 3 years</t>
  </si>
  <si>
    <t>Project Budget: $362,699</t>
  </si>
  <si>
    <r>
      <t>State:</t>
    </r>
    <r>
      <rPr>
        <sz val="11"/>
        <rFont val="Calibri"/>
        <family val="2"/>
        <scheme val="minor"/>
      </rPr>
      <t xml:space="preserve"> </t>
    </r>
  </si>
  <si>
    <t>Non-State: Unrecovered UM Indirect at 54% minus capital equipment</t>
  </si>
  <si>
    <t>Fortin Consulting will provide expertise related to tool development and softening alternatives through a sole source contract following UMN policies (futher documentation could be provided if needed).</t>
  </si>
  <si>
    <t>4 - Research Scientists, $132,519 (70.5% salary, 29.5% benefits),  3 years - WRC Reseacher $50,649, 29% FTE for 3 years,  SAFL Researcher  $32,878, 13% FTE for 3 years, SAFL Researcher $34,713 18% FTE for 3 years , SAFL Researcher $14,279, 5% FTE for 3 years</t>
  </si>
  <si>
    <t>Project Title:  Reducing Chloride in Minnesota’s Water from Water Softening</t>
  </si>
  <si>
    <t>Project Length and Completion Date:  3 years, 6/30/23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</si>
</sst>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&quot;$&quot;#,##0"/>
    <numFmt numFmtId="167" formatCode="_([$$-409]* #,##0_);_([$$-409]* \(#,##0\);_([$$-409]* &quot;-&quot;??_);_(@_)"/>
    <numFmt numFmtId="168" formatCode="_(&quot;$&quot;* #,##0_);_(&quot;$&quot;* \(#,##0\);_(&quot;$&quot;* &quot;-&quot;??_);_(@_)"/>
    <numFmt numFmtId="169" formatCode="&quot;$&quot;#,##0.0"/>
    <numFmt numFmtId="170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i/>
      <sz val="10"/>
      <color theme="1"/>
      <name val="Arial"/>
      <family val="2"/>
    </font>
    <font>
      <sz val="11"/>
      <color rgb="FF000000"/>
      <name val="Calibri"/>
      <family val="2"/>
    </font>
    <font>
      <sz val="7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357">
    <xf numFmtId="0" fontId="0" fillId="0" borderId="0" xfId="0"/>
    <xf numFmtId="15" fontId="0" fillId="0" borderId="0" xfId="0" applyNumberFormat="1"/>
    <xf numFmtId="0" fontId="2" fillId="0" borderId="0" xfId="0" applyFont="1"/>
    <xf numFmtId="165" fontId="0" fillId="0" borderId="0" xfId="0" applyNumberFormat="1" applyAlignment="1"/>
    <xf numFmtId="0" fontId="2" fillId="0" borderId="0" xfId="0" applyFont="1" applyAlignment="1">
      <alignment horizontal="right"/>
    </xf>
    <xf numFmtId="166" fontId="2" fillId="0" borderId="0" xfId="0" applyNumberFormat="1" applyFont="1"/>
    <xf numFmtId="164" fontId="0" fillId="0" borderId="0" xfId="1" applyNumberFormat="1" applyFont="1" applyAlignment="1"/>
    <xf numFmtId="165" fontId="0" fillId="0" borderId="0" xfId="0" applyNumberFormat="1" applyFill="1" applyAlignment="1"/>
    <xf numFmtId="0" fontId="0" fillId="0" borderId="3" xfId="0" applyNumberFormat="1" applyFont="1" applyBorder="1" applyAlignment="1"/>
    <xf numFmtId="166" fontId="0" fillId="0" borderId="4" xfId="0" applyNumberFormat="1" applyFont="1" applyBorder="1" applyAlignment="1"/>
    <xf numFmtId="0" fontId="0" fillId="0" borderId="3" xfId="0" applyNumberFormat="1" applyBorder="1" applyAlignment="1"/>
    <xf numFmtId="165" fontId="0" fillId="0" borderId="4" xfId="0" applyNumberFormat="1" applyBorder="1" applyAlignment="1"/>
    <xf numFmtId="166" fontId="0" fillId="0" borderId="4" xfId="0" applyNumberFormat="1" applyBorder="1" applyAlignment="1"/>
    <xf numFmtId="0" fontId="0" fillId="0" borderId="3" xfId="0" applyBorder="1"/>
    <xf numFmtId="0" fontId="0" fillId="0" borderId="4" xfId="0" applyBorder="1"/>
    <xf numFmtId="166" fontId="0" fillId="0" borderId="4" xfId="0" applyNumberFormat="1" applyBorder="1"/>
    <xf numFmtId="0" fontId="2" fillId="0" borderId="3" xfId="0" applyFont="1" applyBorder="1" applyAlignment="1">
      <alignment horizontal="right"/>
    </xf>
    <xf numFmtId="166" fontId="2" fillId="0" borderId="4" xfId="0" applyNumberFormat="1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3" borderId="5" xfId="0" applyFill="1" applyBorder="1"/>
    <xf numFmtId="0" fontId="2" fillId="3" borderId="5" xfId="0" applyFont="1" applyFill="1" applyBorder="1" applyAlignment="1">
      <alignment horizontal="right"/>
    </xf>
    <xf numFmtId="166" fontId="2" fillId="3" borderId="6" xfId="0" applyNumberFormat="1" applyFont="1" applyFill="1" applyBorder="1"/>
    <xf numFmtId="0" fontId="0" fillId="0" borderId="0" xfId="0" applyAlignment="1">
      <alignment horizontal="right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5" borderId="15" xfId="0" applyFont="1" applyFill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0" fontId="7" fillId="4" borderId="15" xfId="0" applyFont="1" applyFill="1" applyBorder="1" applyAlignment="1">
      <alignment horizontal="right" wrapText="1"/>
    </xf>
    <xf numFmtId="3" fontId="7" fillId="0" borderId="15" xfId="0" applyNumberFormat="1" applyFont="1" applyBorder="1" applyAlignment="1">
      <alignment horizontal="right" wrapText="1"/>
    </xf>
    <xf numFmtId="10" fontId="3" fillId="0" borderId="15" xfId="0" applyNumberFormat="1" applyFont="1" applyBorder="1" applyAlignment="1">
      <alignment horizontal="right" wrapText="1"/>
    </xf>
    <xf numFmtId="0" fontId="3" fillId="2" borderId="15" xfId="0" applyFont="1" applyFill="1" applyBorder="1" applyAlignment="1">
      <alignment wrapText="1"/>
    </xf>
    <xf numFmtId="0" fontId="7" fillId="2" borderId="15" xfId="0" applyFont="1" applyFill="1" applyBorder="1" applyAlignment="1">
      <alignment horizontal="right" wrapText="1"/>
    </xf>
    <xf numFmtId="0" fontId="8" fillId="0" borderId="13" xfId="0" applyFont="1" applyBorder="1" applyAlignment="1">
      <alignment wrapText="1"/>
    </xf>
    <xf numFmtId="9" fontId="3" fillId="0" borderId="13" xfId="0" applyNumberFormat="1" applyFont="1" applyBorder="1" applyAlignment="1">
      <alignment horizontal="right" wrapText="1"/>
    </xf>
    <xf numFmtId="14" fontId="0" fillId="0" borderId="0" xfId="0" applyNumberFormat="1"/>
    <xf numFmtId="166" fontId="0" fillId="3" borderId="6" xfId="0" applyNumberFormat="1" applyFill="1" applyBorder="1"/>
    <xf numFmtId="166" fontId="0" fillId="0" borderId="0" xfId="0" applyNumberFormat="1"/>
    <xf numFmtId="165" fontId="0" fillId="0" borderId="0" xfId="0" applyNumberFormat="1"/>
    <xf numFmtId="166" fontId="0" fillId="0" borderId="0" xfId="0" applyNumberFormat="1" applyFont="1" applyBorder="1" applyAlignment="1"/>
    <xf numFmtId="165" fontId="0" fillId="0" borderId="0" xfId="0" applyNumberFormat="1" applyBorder="1" applyAlignment="1"/>
    <xf numFmtId="166" fontId="0" fillId="0" borderId="0" xfId="0" applyNumberFormat="1" applyBorder="1" applyAlignment="1"/>
    <xf numFmtId="0" fontId="0" fillId="0" borderId="0" xfId="0" applyBorder="1"/>
    <xf numFmtId="166" fontId="0" fillId="0" borderId="0" xfId="0" applyNumberFormat="1" applyBorder="1"/>
    <xf numFmtId="166" fontId="0" fillId="3" borderId="21" xfId="0" applyNumberFormat="1" applyFill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11" fillId="0" borderId="0" xfId="0" applyFont="1" applyAlignment="1">
      <alignment vertical="center"/>
    </xf>
    <xf numFmtId="0" fontId="0" fillId="0" borderId="3" xfId="0" applyFill="1" applyBorder="1"/>
    <xf numFmtId="166" fontId="0" fillId="0" borderId="4" xfId="0" applyNumberFormat="1" applyFill="1" applyBorder="1"/>
    <xf numFmtId="0" fontId="0" fillId="0" borderId="0" xfId="0" applyFill="1" applyBorder="1"/>
    <xf numFmtId="166" fontId="0" fillId="0" borderId="0" xfId="0" applyNumberFormat="1" applyFill="1" applyBorder="1"/>
    <xf numFmtId="0" fontId="2" fillId="0" borderId="3" xfId="0" applyFont="1" applyFill="1" applyBorder="1" applyAlignment="1">
      <alignment horizontal="right"/>
    </xf>
    <xf numFmtId="166" fontId="2" fillId="0" borderId="4" xfId="0" applyNumberFormat="1" applyFont="1" applyFill="1" applyBorder="1"/>
    <xf numFmtId="0" fontId="0" fillId="0" borderId="0" xfId="0" applyFill="1"/>
    <xf numFmtId="0" fontId="0" fillId="3" borderId="21" xfId="0" applyFill="1" applyBorder="1"/>
    <xf numFmtId="0" fontId="12" fillId="0" borderId="0" xfId="3" applyFont="1" applyAlignment="1">
      <alignment vertical="top" wrapText="1"/>
    </xf>
    <xf numFmtId="0" fontId="14" fillId="0" borderId="0" xfId="3" applyFont="1" applyBorder="1" applyAlignment="1">
      <alignment vertical="top" wrapText="1"/>
    </xf>
    <xf numFmtId="0" fontId="14" fillId="0" borderId="0" xfId="3" applyFont="1" applyAlignment="1">
      <alignment vertical="top" wrapText="1"/>
    </xf>
    <xf numFmtId="0" fontId="12" fillId="0" borderId="0" xfId="3" applyFont="1" applyBorder="1" applyAlignment="1">
      <alignment vertical="top"/>
    </xf>
    <xf numFmtId="0" fontId="14" fillId="0" borderId="0" xfId="3" applyFont="1" applyBorder="1" applyAlignment="1">
      <alignment vertical="top"/>
    </xf>
    <xf numFmtId="0" fontId="14" fillId="0" borderId="0" xfId="3" applyFont="1" applyAlignment="1">
      <alignment vertical="top"/>
    </xf>
    <xf numFmtId="0" fontId="12" fillId="0" borderId="0" xfId="3" applyFont="1" applyAlignment="1">
      <alignment vertical="top"/>
    </xf>
    <xf numFmtId="0" fontId="12" fillId="0" borderId="0" xfId="3" applyFont="1" applyBorder="1" applyAlignment="1">
      <alignment vertical="top" wrapText="1"/>
    </xf>
    <xf numFmtId="0" fontId="9" fillId="0" borderId="0" xfId="3" applyFont="1" applyAlignment="1">
      <alignment vertical="top"/>
    </xf>
    <xf numFmtId="0" fontId="12" fillId="6" borderId="25" xfId="3" applyFont="1" applyFill="1" applyBorder="1" applyAlignment="1">
      <alignment wrapText="1"/>
    </xf>
    <xf numFmtId="0" fontId="12" fillId="6" borderId="26" xfId="3" applyFont="1" applyFill="1" applyBorder="1" applyAlignment="1">
      <alignment wrapText="1"/>
    </xf>
    <xf numFmtId="0" fontId="12" fillId="6" borderId="27" xfId="3" applyFont="1" applyFill="1" applyBorder="1" applyAlignment="1">
      <alignment horizontal="center" wrapText="1"/>
    </xf>
    <xf numFmtId="0" fontId="12" fillId="6" borderId="28" xfId="3" applyFont="1" applyFill="1" applyBorder="1" applyAlignment="1">
      <alignment horizontal="center" wrapText="1"/>
    </xf>
    <xf numFmtId="0" fontId="15" fillId="0" borderId="29" xfId="3" applyFont="1" applyBorder="1" applyAlignment="1">
      <alignment vertical="top" wrapText="1"/>
    </xf>
    <xf numFmtId="0" fontId="15" fillId="7" borderId="31" xfId="3" applyFont="1" applyFill="1" applyBorder="1" applyAlignment="1">
      <alignment vertical="top" wrapText="1"/>
    </xf>
    <xf numFmtId="0" fontId="15" fillId="7" borderId="30" xfId="3" applyFont="1" applyFill="1" applyBorder="1" applyAlignment="1">
      <alignment vertical="top" wrapText="1"/>
    </xf>
    <xf numFmtId="167" fontId="14" fillId="0" borderId="32" xfId="3" applyNumberFormat="1" applyFont="1" applyBorder="1" applyAlignment="1">
      <alignment horizontal="right" vertical="top" wrapText="1"/>
    </xf>
    <xf numFmtId="167" fontId="14" fillId="7" borderId="32" xfId="3" applyNumberFormat="1" applyFont="1" applyFill="1" applyBorder="1" applyAlignment="1">
      <alignment horizontal="right" vertical="top" wrapText="1"/>
    </xf>
    <xf numFmtId="167" fontId="14" fillId="8" borderId="32" xfId="3" applyNumberFormat="1" applyFont="1" applyFill="1" applyBorder="1" applyAlignment="1">
      <alignment horizontal="right" vertical="top" wrapText="1"/>
    </xf>
    <xf numFmtId="167" fontId="14" fillId="0" borderId="33" xfId="3" applyNumberFormat="1" applyFont="1" applyBorder="1" applyAlignment="1">
      <alignment horizontal="right" vertical="top" wrapText="1"/>
    </xf>
    <xf numFmtId="167" fontId="14" fillId="0" borderId="27" xfId="3" applyNumberFormat="1" applyFont="1" applyBorder="1" applyAlignment="1">
      <alignment horizontal="right" vertical="top" wrapText="1"/>
    </xf>
    <xf numFmtId="167" fontId="14" fillId="0" borderId="36" xfId="3" applyNumberFormat="1" applyFont="1" applyBorder="1" applyAlignment="1">
      <alignment horizontal="right" vertical="top" wrapText="1"/>
    </xf>
    <xf numFmtId="0" fontId="14" fillId="0" borderId="32" xfId="3" applyFont="1" applyBorder="1" applyAlignment="1">
      <alignment vertical="top" wrapText="1"/>
    </xf>
    <xf numFmtId="0" fontId="12" fillId="6" borderId="32" xfId="3" applyFont="1" applyFill="1" applyBorder="1" applyAlignment="1">
      <alignment horizontal="left" vertical="center" wrapText="1"/>
    </xf>
    <xf numFmtId="0" fontId="12" fillId="6" borderId="32" xfId="3" applyFont="1" applyFill="1" applyBorder="1" applyAlignment="1">
      <alignment horizontal="center" vertical="center" wrapText="1"/>
    </xf>
    <xf numFmtId="0" fontId="12" fillId="0" borderId="32" xfId="3" applyFont="1" applyBorder="1" applyAlignment="1">
      <alignment wrapText="1"/>
    </xf>
    <xf numFmtId="168" fontId="14" fillId="0" borderId="32" xfId="4" applyNumberFormat="1" applyFont="1" applyBorder="1"/>
    <xf numFmtId="168" fontId="14" fillId="0" borderId="32" xfId="4" applyNumberFormat="1" applyFont="1" applyBorder="1" applyAlignment="1">
      <alignment horizontal="right" vertical="top" wrapText="1"/>
    </xf>
    <xf numFmtId="0" fontId="12" fillId="6" borderId="32" xfId="3" applyFont="1" applyFill="1" applyBorder="1" applyAlignment="1">
      <alignment vertical="center" wrapText="1"/>
    </xf>
    <xf numFmtId="0" fontId="14" fillId="0" borderId="37" xfId="3" applyFont="1" applyBorder="1" applyAlignment="1">
      <alignment vertical="top" wrapText="1"/>
    </xf>
    <xf numFmtId="0" fontId="14" fillId="0" borderId="38" xfId="3" applyFont="1" applyBorder="1" applyAlignment="1">
      <alignment vertical="top" wrapText="1"/>
    </xf>
    <xf numFmtId="0" fontId="0" fillId="9" borderId="0" xfId="0" applyFill="1"/>
    <xf numFmtId="168" fontId="0" fillId="0" borderId="0" xfId="2" applyNumberFormat="1" applyFont="1"/>
    <xf numFmtId="168" fontId="2" fillId="6" borderId="0" xfId="2" applyNumberFormat="1" applyFont="1" applyFill="1"/>
    <xf numFmtId="168" fontId="2" fillId="6" borderId="22" xfId="2" applyNumberFormat="1" applyFont="1" applyFill="1" applyBorder="1"/>
    <xf numFmtId="0" fontId="2" fillId="6" borderId="0" xfId="0" applyFont="1" applyFill="1" applyAlignment="1">
      <alignment vertical="center"/>
    </xf>
    <xf numFmtId="0" fontId="0" fillId="6" borderId="0" xfId="0" applyFill="1"/>
    <xf numFmtId="0" fontId="16" fillId="0" borderId="0" xfId="0" applyFont="1" applyAlignment="1">
      <alignment vertical="center"/>
    </xf>
    <xf numFmtId="0" fontId="14" fillId="0" borderId="23" xfId="3" applyFont="1" applyBorder="1" applyAlignment="1">
      <alignment vertical="top" wrapText="1"/>
    </xf>
    <xf numFmtId="0" fontId="14" fillId="0" borderId="24" xfId="3" applyFont="1" applyBorder="1" applyAlignment="1">
      <alignment vertical="top" wrapText="1"/>
    </xf>
    <xf numFmtId="0" fontId="12" fillId="0" borderId="23" xfId="3" applyFont="1" applyBorder="1" applyAlignment="1">
      <alignment vertical="top" wrapText="1"/>
    </xf>
    <xf numFmtId="0" fontId="12" fillId="0" borderId="24" xfId="3" applyFont="1" applyBorder="1" applyAlignment="1">
      <alignment vertical="top" wrapText="1"/>
    </xf>
    <xf numFmtId="0" fontId="15" fillId="0" borderId="23" xfId="3" applyFont="1" applyBorder="1" applyAlignment="1">
      <alignment vertical="top" wrapText="1"/>
    </xf>
    <xf numFmtId="0" fontId="15" fillId="0" borderId="24" xfId="3" applyFont="1" applyBorder="1" applyAlignment="1">
      <alignment vertical="top" wrapText="1"/>
    </xf>
    <xf numFmtId="0" fontId="14" fillId="0" borderId="23" xfId="3" applyFont="1" applyBorder="1" applyAlignment="1">
      <alignment vertical="top" wrapText="1"/>
    </xf>
    <xf numFmtId="0" fontId="14" fillId="0" borderId="24" xfId="3" applyFont="1" applyBorder="1" applyAlignment="1">
      <alignment vertical="top" wrapText="1"/>
    </xf>
    <xf numFmtId="0" fontId="0" fillId="0" borderId="3" xfId="0" applyNumberFormat="1" applyFont="1" applyFill="1" applyBorder="1" applyAlignment="1"/>
    <xf numFmtId="0" fontId="2" fillId="0" borderId="8" xfId="0" applyFont="1" applyBorder="1" applyAlignment="1">
      <alignment horizontal="center"/>
    </xf>
    <xf numFmtId="0" fontId="0" fillId="0" borderId="0" xfId="0" applyNumberFormat="1" applyFont="1" applyBorder="1" applyAlignment="1"/>
    <xf numFmtId="166" fontId="0" fillId="0" borderId="4" xfId="0" applyNumberFormat="1" applyFont="1" applyFill="1" applyBorder="1" applyAlignment="1"/>
    <xf numFmtId="0" fontId="2" fillId="0" borderId="1" xfId="0" applyFont="1" applyFill="1" applyBorder="1" applyAlignment="1">
      <alignment horizontal="right"/>
    </xf>
    <xf numFmtId="166" fontId="2" fillId="0" borderId="2" xfId="0" applyNumberFormat="1" applyFont="1" applyFill="1" applyBorder="1"/>
    <xf numFmtId="0" fontId="2" fillId="0" borderId="1" xfId="0" applyFont="1" applyBorder="1"/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top"/>
    </xf>
    <xf numFmtId="165" fontId="0" fillId="0" borderId="4" xfId="0" applyNumberFormat="1" applyBorder="1"/>
    <xf numFmtId="167" fontId="14" fillId="8" borderId="23" xfId="3" applyNumberFormat="1" applyFont="1" applyFill="1" applyBorder="1" applyAlignment="1">
      <alignment horizontal="right" vertical="top" wrapText="1"/>
    </xf>
    <xf numFmtId="167" fontId="14" fillId="8" borderId="0" xfId="3" applyNumberFormat="1" applyFont="1" applyFill="1" applyBorder="1" applyAlignment="1">
      <alignment horizontal="right" vertical="top" wrapText="1"/>
    </xf>
    <xf numFmtId="166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Border="1" applyAlignment="1"/>
    <xf numFmtId="166" fontId="0" fillId="0" borderId="3" xfId="0" applyNumberFormat="1" applyBorder="1" applyAlignment="1"/>
    <xf numFmtId="0" fontId="2" fillId="0" borderId="39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3" borderId="2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wrapText="1"/>
    </xf>
    <xf numFmtId="166" fontId="0" fillId="0" borderId="3" xfId="0" applyNumberFormat="1" applyBorder="1"/>
    <xf numFmtId="168" fontId="2" fillId="0" borderId="0" xfId="0" applyNumberFormat="1" applyFont="1"/>
    <xf numFmtId="44" fontId="2" fillId="0" borderId="0" xfId="0" applyNumberFormat="1" applyFont="1"/>
    <xf numFmtId="0" fontId="3" fillId="0" borderId="40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7" fillId="0" borderId="44" xfId="0" applyFont="1" applyBorder="1" applyAlignment="1">
      <alignment wrapText="1"/>
    </xf>
    <xf numFmtId="0" fontId="3" fillId="0" borderId="45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3" fillId="0" borderId="50" xfId="0" applyFont="1" applyBorder="1" applyAlignment="1">
      <alignment wrapText="1"/>
    </xf>
    <xf numFmtId="0" fontId="3" fillId="0" borderId="51" xfId="0" applyFont="1" applyBorder="1" applyAlignment="1">
      <alignment wrapText="1"/>
    </xf>
    <xf numFmtId="0" fontId="3" fillId="0" borderId="52" xfId="0" applyFont="1" applyBorder="1" applyAlignment="1">
      <alignment wrapText="1"/>
    </xf>
    <xf numFmtId="0" fontId="3" fillId="0" borderId="5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54" xfId="0" applyFont="1" applyBorder="1" applyAlignment="1">
      <alignment wrapText="1"/>
    </xf>
    <xf numFmtId="0" fontId="3" fillId="0" borderId="56" xfId="0" applyFont="1" applyBorder="1" applyAlignment="1">
      <alignment wrapText="1"/>
    </xf>
    <xf numFmtId="0" fontId="3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10" borderId="22" xfId="0" applyFont="1" applyFill="1" applyBorder="1" applyAlignment="1">
      <alignment horizontal="left" vertical="top" wrapText="1"/>
    </xf>
    <xf numFmtId="0" fontId="3" fillId="10" borderId="22" xfId="0" applyFont="1" applyFill="1" applyBorder="1" applyAlignment="1">
      <alignment horizontal="left" vertical="top" wrapText="1"/>
    </xf>
    <xf numFmtId="0" fontId="3" fillId="10" borderId="22" xfId="0" applyFont="1" applyFill="1" applyBorder="1" applyAlignment="1">
      <alignment wrapText="1"/>
    </xf>
    <xf numFmtId="165" fontId="3" fillId="10" borderId="22" xfId="0" applyNumberFormat="1" applyFont="1" applyFill="1" applyBorder="1" applyAlignment="1">
      <alignment wrapText="1"/>
    </xf>
    <xf numFmtId="10" fontId="3" fillId="10" borderId="22" xfId="0" applyNumberFormat="1" applyFont="1" applyFill="1" applyBorder="1" applyAlignment="1">
      <alignment wrapText="1"/>
    </xf>
    <xf numFmtId="165" fontId="3" fillId="10" borderId="0" xfId="0" applyNumberFormat="1" applyFont="1" applyFill="1" applyBorder="1" applyAlignment="1">
      <alignment wrapText="1"/>
    </xf>
    <xf numFmtId="0" fontId="3" fillId="10" borderId="52" xfId="0" applyFont="1" applyFill="1" applyBorder="1" applyAlignment="1">
      <alignment wrapText="1"/>
    </xf>
    <xf numFmtId="0" fontId="7" fillId="10" borderId="55" xfId="0" applyFont="1" applyFill="1" applyBorder="1" applyAlignment="1">
      <alignment horizontal="right" wrapText="1"/>
    </xf>
    <xf numFmtId="10" fontId="7" fillId="10" borderId="22" xfId="0" applyNumberFormat="1" applyFont="1" applyFill="1" applyBorder="1" applyAlignment="1">
      <alignment horizontal="right" wrapText="1"/>
    </xf>
    <xf numFmtId="0" fontId="3" fillId="10" borderId="0" xfId="0" applyFont="1" applyFill="1" applyBorder="1" applyAlignment="1">
      <alignment wrapText="1"/>
    </xf>
    <xf numFmtId="0" fontId="3" fillId="10" borderId="55" xfId="0" applyFont="1" applyFill="1" applyBorder="1" applyAlignment="1">
      <alignment wrapText="1"/>
    </xf>
    <xf numFmtId="0" fontId="3" fillId="10" borderId="49" xfId="0" applyFont="1" applyFill="1" applyBorder="1" applyAlignment="1">
      <alignment wrapText="1"/>
    </xf>
    <xf numFmtId="10" fontId="3" fillId="10" borderId="0" xfId="0" applyNumberFormat="1" applyFont="1" applyFill="1" applyBorder="1" applyAlignment="1">
      <alignment wrapText="1"/>
    </xf>
    <xf numFmtId="9" fontId="3" fillId="10" borderId="22" xfId="0" applyNumberFormat="1" applyFont="1" applyFill="1" applyBorder="1" applyAlignment="1">
      <alignment wrapText="1"/>
    </xf>
    <xf numFmtId="165" fontId="3" fillId="11" borderId="22" xfId="0" applyNumberFormat="1" applyFont="1" applyFill="1" applyBorder="1" applyAlignment="1">
      <alignment wrapText="1"/>
    </xf>
    <xf numFmtId="165" fontId="3" fillId="12" borderId="22" xfId="0" applyNumberFormat="1" applyFont="1" applyFill="1" applyBorder="1" applyAlignment="1">
      <alignment wrapText="1"/>
    </xf>
    <xf numFmtId="0" fontId="17" fillId="11" borderId="22" xfId="0" applyFont="1" applyFill="1" applyBorder="1" applyAlignment="1">
      <alignment horizontal="left" vertical="top" wrapText="1"/>
    </xf>
    <xf numFmtId="0" fontId="17" fillId="12" borderId="22" xfId="0" applyFont="1" applyFill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0" fillId="0" borderId="0" xfId="0" applyFont="1"/>
    <xf numFmtId="14" fontId="0" fillId="0" borderId="0" xfId="0" applyNumberFormat="1" applyFont="1"/>
    <xf numFmtId="15" fontId="0" fillId="0" borderId="0" xfId="0" applyNumberFormat="1" applyFont="1"/>
    <xf numFmtId="166" fontId="0" fillId="0" borderId="0" xfId="0" applyNumberFormat="1" applyFont="1"/>
    <xf numFmtId="0" fontId="0" fillId="0" borderId="0" xfId="0" applyFont="1" applyFill="1"/>
    <xf numFmtId="165" fontId="0" fillId="0" borderId="0" xfId="0" applyNumberFormat="1" applyFont="1" applyAlignment="1"/>
    <xf numFmtId="0" fontId="0" fillId="0" borderId="3" xfId="0" applyFont="1" applyBorder="1"/>
    <xf numFmtId="166" fontId="0" fillId="0" borderId="4" xfId="0" applyNumberFormat="1" applyFont="1" applyBorder="1"/>
    <xf numFmtId="165" fontId="0" fillId="0" borderId="0" xfId="0" applyNumberFormat="1" applyFont="1" applyFill="1" applyAlignment="1"/>
    <xf numFmtId="165" fontId="0" fillId="0" borderId="4" xfId="0" applyNumberFormat="1" applyFont="1" applyBorder="1" applyAlignment="1"/>
    <xf numFmtId="0" fontId="0" fillId="0" borderId="4" xfId="0" applyFont="1" applyBorder="1"/>
    <xf numFmtId="0" fontId="0" fillId="3" borderId="5" xfId="0" applyFont="1" applyFill="1" applyBorder="1"/>
    <xf numFmtId="166" fontId="0" fillId="3" borderId="6" xfId="0" applyNumberFormat="1" applyFont="1" applyFill="1" applyBorder="1"/>
    <xf numFmtId="0" fontId="0" fillId="0" borderId="1" xfId="0" applyFont="1" applyFill="1" applyBorder="1"/>
    <xf numFmtId="0" fontId="0" fillId="0" borderId="10" xfId="0" applyFont="1" applyBorder="1"/>
    <xf numFmtId="0" fontId="0" fillId="0" borderId="10" xfId="0" applyFont="1" applyFill="1" applyBorder="1"/>
    <xf numFmtId="166" fontId="0" fillId="0" borderId="10" xfId="0" applyNumberFormat="1" applyFont="1" applyFill="1" applyBorder="1"/>
    <xf numFmtId="166" fontId="0" fillId="0" borderId="2" xfId="0" applyNumberFormat="1" applyFont="1" applyFill="1" applyBorder="1"/>
    <xf numFmtId="0" fontId="0" fillId="0" borderId="3" xfId="0" applyFont="1" applyFill="1" applyBorder="1"/>
    <xf numFmtId="166" fontId="0" fillId="0" borderId="4" xfId="0" applyNumberFormat="1" applyFont="1" applyFill="1" applyBorder="1"/>
    <xf numFmtId="0" fontId="0" fillId="0" borderId="0" xfId="0" applyFont="1" applyFill="1" applyBorder="1"/>
    <xf numFmtId="166" fontId="0" fillId="0" borderId="0" xfId="0" applyNumberFormat="1" applyFont="1" applyFill="1" applyBorder="1"/>
    <xf numFmtId="0" fontId="0" fillId="3" borderId="21" xfId="0" applyFont="1" applyFill="1" applyBorder="1"/>
    <xf numFmtId="166" fontId="0" fillId="0" borderId="2" xfId="0" applyNumberFormat="1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Border="1"/>
    <xf numFmtId="6" fontId="0" fillId="0" borderId="4" xfId="0" applyNumberFormat="1" applyFont="1" applyBorder="1"/>
    <xf numFmtId="0" fontId="0" fillId="0" borderId="5" xfId="0" applyFont="1" applyBorder="1"/>
    <xf numFmtId="0" fontId="0" fillId="0" borderId="21" xfId="0" applyFont="1" applyBorder="1"/>
    <xf numFmtId="0" fontId="0" fillId="0" borderId="21" xfId="0" applyFont="1" applyBorder="1" applyAlignment="1">
      <alignment horizontal="right"/>
    </xf>
    <xf numFmtId="0" fontId="18" fillId="0" borderId="0" xfId="0" applyFont="1"/>
    <xf numFmtId="0" fontId="18" fillId="0" borderId="0" xfId="0" applyFont="1" applyFill="1"/>
    <xf numFmtId="165" fontId="18" fillId="10" borderId="32" xfId="0" applyNumberFormat="1" applyFont="1" applyFill="1" applyBorder="1"/>
    <xf numFmtId="0" fontId="18" fillId="10" borderId="32" xfId="0" applyFont="1" applyFill="1" applyBorder="1"/>
    <xf numFmtId="10" fontId="18" fillId="10" borderId="32" xfId="0" applyNumberFormat="1" applyFont="1" applyFill="1" applyBorder="1"/>
    <xf numFmtId="0" fontId="18" fillId="11" borderId="32" xfId="0" applyFont="1" applyFill="1" applyBorder="1"/>
    <xf numFmtId="0" fontId="18" fillId="12" borderId="32" xfId="0" applyFont="1" applyFill="1" applyBorder="1"/>
    <xf numFmtId="165" fontId="18" fillId="10" borderId="36" xfId="0" applyNumberFormat="1" applyFont="1" applyFill="1" applyBorder="1"/>
    <xf numFmtId="9" fontId="18" fillId="10" borderId="36" xfId="0" applyNumberFormat="1" applyFont="1" applyFill="1" applyBorder="1"/>
    <xf numFmtId="165" fontId="18" fillId="11" borderId="36" xfId="0" applyNumberFormat="1" applyFont="1" applyFill="1" applyBorder="1"/>
    <xf numFmtId="165" fontId="18" fillId="12" borderId="36" xfId="0" applyNumberFormat="1" applyFont="1" applyFill="1" applyBorder="1"/>
    <xf numFmtId="0" fontId="18" fillId="10" borderId="57" xfId="0" applyFont="1" applyFill="1" applyBorder="1" applyAlignment="1">
      <alignment wrapText="1"/>
    </xf>
    <xf numFmtId="0" fontId="18" fillId="11" borderId="57" xfId="0" applyFont="1" applyFill="1" applyBorder="1" applyAlignment="1">
      <alignment wrapText="1"/>
    </xf>
    <xf numFmtId="0" fontId="18" fillId="12" borderId="57" xfId="0" applyFont="1" applyFill="1" applyBorder="1" applyAlignment="1">
      <alignment wrapText="1"/>
    </xf>
    <xf numFmtId="0" fontId="18" fillId="12" borderId="58" xfId="0" applyFont="1" applyFill="1" applyBorder="1" applyAlignment="1">
      <alignment wrapText="1"/>
    </xf>
    <xf numFmtId="165" fontId="18" fillId="10" borderId="35" xfId="0" applyNumberFormat="1" applyFont="1" applyFill="1" applyBorder="1"/>
    <xf numFmtId="0" fontId="18" fillId="10" borderId="24" xfId="0" applyFont="1" applyFill="1" applyBorder="1"/>
    <xf numFmtId="165" fontId="18" fillId="10" borderId="24" xfId="0" applyNumberFormat="1" applyFont="1" applyFill="1" applyBorder="1"/>
    <xf numFmtId="0" fontId="18" fillId="0" borderId="46" xfId="0" applyFont="1" applyBorder="1"/>
    <xf numFmtId="0" fontId="18" fillId="0" borderId="32" xfId="0" applyFont="1" applyBorder="1"/>
    <xf numFmtId="0" fontId="18" fillId="10" borderId="59" xfId="0" applyFont="1" applyFill="1" applyBorder="1" applyAlignment="1">
      <alignment wrapText="1"/>
    </xf>
    <xf numFmtId="0" fontId="18" fillId="10" borderId="60" xfId="0" applyFont="1" applyFill="1" applyBorder="1" applyAlignment="1">
      <alignment wrapText="1"/>
    </xf>
    <xf numFmtId="0" fontId="18" fillId="11" borderId="60" xfId="0" applyFont="1" applyFill="1" applyBorder="1" applyAlignment="1">
      <alignment wrapText="1"/>
    </xf>
    <xf numFmtId="0" fontId="18" fillId="12" borderId="60" xfId="0" applyFont="1" applyFill="1" applyBorder="1" applyAlignment="1">
      <alignment wrapText="1"/>
    </xf>
    <xf numFmtId="169" fontId="0" fillId="0" borderId="4" xfId="0" applyNumberFormat="1" applyBorder="1"/>
    <xf numFmtId="169" fontId="0" fillId="0" borderId="0" xfId="0" applyNumberFormat="1" applyBorder="1"/>
    <xf numFmtId="165" fontId="0" fillId="0" borderId="0" xfId="0" applyNumberFormat="1" applyBorder="1"/>
    <xf numFmtId="0" fontId="3" fillId="0" borderId="49" xfId="0" applyFont="1" applyBorder="1" applyAlignment="1">
      <alignment horizontal="left" vertical="top" wrapText="1"/>
    </xf>
    <xf numFmtId="0" fontId="7" fillId="0" borderId="49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4" fillId="0" borderId="23" xfId="3" applyFont="1" applyBorder="1" applyAlignment="1">
      <alignment vertical="top" wrapText="1"/>
    </xf>
    <xf numFmtId="0" fontId="14" fillId="0" borderId="24" xfId="3" applyFont="1" applyBorder="1" applyAlignment="1">
      <alignment vertical="top" wrapText="1"/>
    </xf>
    <xf numFmtId="0" fontId="0" fillId="0" borderId="4" xfId="0" applyFill="1" applyBorder="1"/>
    <xf numFmtId="0" fontId="18" fillId="0" borderId="0" xfId="0" applyFont="1" applyBorder="1"/>
    <xf numFmtId="0" fontId="18" fillId="10" borderId="37" xfId="0" applyFont="1" applyFill="1" applyBorder="1" applyAlignment="1">
      <alignment wrapText="1"/>
    </xf>
    <xf numFmtId="0" fontId="18" fillId="10" borderId="38" xfId="0" applyFont="1" applyFill="1" applyBorder="1" applyAlignment="1">
      <alignment wrapText="1"/>
    </xf>
    <xf numFmtId="0" fontId="18" fillId="11" borderId="38" xfId="0" applyFont="1" applyFill="1" applyBorder="1" applyAlignment="1">
      <alignment wrapText="1"/>
    </xf>
    <xf numFmtId="0" fontId="18" fillId="12" borderId="38" xfId="0" applyFont="1" applyFill="1" applyBorder="1" applyAlignment="1">
      <alignment wrapText="1"/>
    </xf>
    <xf numFmtId="0" fontId="18" fillId="12" borderId="61" xfId="0" applyFont="1" applyFill="1" applyBorder="1" applyAlignment="1">
      <alignment wrapText="1"/>
    </xf>
    <xf numFmtId="0" fontId="18" fillId="10" borderId="37" xfId="0" applyFont="1" applyFill="1" applyBorder="1"/>
    <xf numFmtId="0" fontId="18" fillId="10" borderId="38" xfId="0" applyFont="1" applyFill="1" applyBorder="1"/>
    <xf numFmtId="0" fontId="18" fillId="11" borderId="38" xfId="0" applyFont="1" applyFill="1" applyBorder="1"/>
    <xf numFmtId="0" fontId="18" fillId="12" borderId="38" xfId="0" applyFont="1" applyFill="1" applyBorder="1"/>
    <xf numFmtId="0" fontId="0" fillId="13" borderId="0" xfId="0" applyFill="1"/>
    <xf numFmtId="0" fontId="0" fillId="14" borderId="0" xfId="0" applyFill="1"/>
    <xf numFmtId="0" fontId="0" fillId="14" borderId="3" xfId="0" applyFill="1" applyBorder="1"/>
    <xf numFmtId="166" fontId="0" fillId="14" borderId="4" xfId="0" applyNumberFormat="1" applyFill="1" applyBorder="1"/>
    <xf numFmtId="166" fontId="0" fillId="14" borderId="0" xfId="0" applyNumberFormat="1" applyFill="1" applyBorder="1"/>
    <xf numFmtId="0" fontId="0" fillId="14" borderId="0" xfId="0" applyFill="1" applyBorder="1"/>
    <xf numFmtId="0" fontId="0" fillId="14" borderId="4" xfId="0" applyFill="1" applyBorder="1"/>
    <xf numFmtId="0" fontId="0" fillId="13" borderId="3" xfId="0" applyFill="1" applyBorder="1"/>
    <xf numFmtId="166" fontId="0" fillId="13" borderId="4" xfId="0" applyNumberFormat="1" applyFill="1" applyBorder="1"/>
    <xf numFmtId="0" fontId="0" fillId="13" borderId="4" xfId="0" applyFill="1" applyBorder="1"/>
    <xf numFmtId="0" fontId="0" fillId="13" borderId="0" xfId="0" applyFill="1" applyBorder="1"/>
    <xf numFmtId="166" fontId="0" fillId="13" borderId="0" xfId="0" applyNumberFormat="1" applyFill="1" applyBorder="1"/>
    <xf numFmtId="0" fontId="0" fillId="0" borderId="63" xfId="0" applyBorder="1"/>
    <xf numFmtId="165" fontId="0" fillId="0" borderId="63" xfId="0" applyNumberFormat="1" applyBorder="1" applyAlignment="1"/>
    <xf numFmtId="0" fontId="0" fillId="0" borderId="64" xfId="0" applyNumberFormat="1" applyFont="1" applyBorder="1" applyAlignment="1"/>
    <xf numFmtId="166" fontId="0" fillId="0" borderId="62" xfId="0" applyNumberFormat="1" applyFont="1" applyBorder="1" applyAlignment="1"/>
    <xf numFmtId="166" fontId="0" fillId="0" borderId="63" xfId="0" applyNumberFormat="1" applyFont="1" applyBorder="1" applyAlignment="1"/>
    <xf numFmtId="0" fontId="0" fillId="0" borderId="63" xfId="0" applyNumberFormat="1" applyFont="1" applyBorder="1" applyAlignment="1"/>
    <xf numFmtId="166" fontId="0" fillId="0" borderId="62" xfId="0" applyNumberFormat="1" applyBorder="1"/>
    <xf numFmtId="0" fontId="18" fillId="0" borderId="35" xfId="0" applyFont="1" applyBorder="1"/>
    <xf numFmtId="0" fontId="18" fillId="0" borderId="24" xfId="0" applyFont="1" applyBorder="1"/>
    <xf numFmtId="164" fontId="18" fillId="0" borderId="0" xfId="1" applyNumberFormat="1" applyFont="1" applyFill="1"/>
    <xf numFmtId="165" fontId="18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0" fillId="11" borderId="0" xfId="0" applyFill="1"/>
    <xf numFmtId="0" fontId="0" fillId="10" borderId="0" xfId="0" applyFill="1"/>
    <xf numFmtId="0" fontId="0" fillId="15" borderId="0" xfId="0" applyFill="1"/>
    <xf numFmtId="0" fontId="0" fillId="12" borderId="0" xfId="0" applyFill="1"/>
    <xf numFmtId="0" fontId="2" fillId="15" borderId="0" xfId="0" applyFont="1" applyFill="1"/>
    <xf numFmtId="164" fontId="0" fillId="0" borderId="0" xfId="1" applyNumberFormat="1" applyFont="1"/>
    <xf numFmtId="166" fontId="0" fillId="0" borderId="3" xfId="0" applyNumberFormat="1" applyFont="1" applyBorder="1" applyAlignment="1"/>
    <xf numFmtId="166" fontId="0" fillId="0" borderId="64" xfId="0" applyNumberFormat="1" applyFont="1" applyBorder="1" applyAlignment="1"/>
    <xf numFmtId="165" fontId="0" fillId="0" borderId="3" xfId="0" applyNumberFormat="1" applyBorder="1" applyAlignment="1"/>
    <xf numFmtId="166" fontId="0" fillId="3" borderId="5" xfId="0" applyNumberFormat="1" applyFill="1" applyBorder="1"/>
    <xf numFmtId="166" fontId="0" fillId="0" borderId="3" xfId="0" applyNumberFormat="1" applyFill="1" applyBorder="1"/>
    <xf numFmtId="166" fontId="0" fillId="13" borderId="3" xfId="0" applyNumberFormat="1" applyFill="1" applyBorder="1"/>
    <xf numFmtId="166" fontId="0" fillId="14" borderId="3" xfId="0" applyNumberFormat="1" applyFill="1" applyBorder="1"/>
    <xf numFmtId="14" fontId="0" fillId="0" borderId="0" xfId="0" applyNumberFormat="1" applyFill="1" applyBorder="1"/>
    <xf numFmtId="165" fontId="0" fillId="0" borderId="0" xfId="0" applyNumberFormat="1" applyFill="1" applyBorder="1" applyAlignment="1"/>
    <xf numFmtId="166" fontId="0" fillId="0" borderId="0" xfId="0" applyNumberFormat="1" applyFill="1" applyBorder="1" applyAlignment="1"/>
    <xf numFmtId="0" fontId="2" fillId="0" borderId="47" xfId="0" applyFont="1" applyFill="1" applyBorder="1" applyAlignment="1">
      <alignment horizontal="center"/>
    </xf>
    <xf numFmtId="166" fontId="0" fillId="0" borderId="47" xfId="0" applyNumberFormat="1" applyFont="1" applyFill="1" applyBorder="1" applyAlignment="1"/>
    <xf numFmtId="165" fontId="0" fillId="0" borderId="47" xfId="0" applyNumberFormat="1" applyFill="1" applyBorder="1" applyAlignment="1"/>
    <xf numFmtId="166" fontId="0" fillId="0" borderId="47" xfId="0" applyNumberFormat="1" applyFill="1" applyBorder="1" applyAlignment="1"/>
    <xf numFmtId="166" fontId="0" fillId="0" borderId="47" xfId="0" applyNumberFormat="1" applyFill="1" applyBorder="1"/>
    <xf numFmtId="0" fontId="0" fillId="0" borderId="47" xfId="0" applyFill="1" applyBorder="1"/>
    <xf numFmtId="165" fontId="0" fillId="0" borderId="47" xfId="0" applyNumberFormat="1" applyFill="1" applyBorder="1"/>
    <xf numFmtId="0" fontId="2" fillId="0" borderId="0" xfId="0" applyFont="1" applyAlignment="1">
      <alignment horizontal="center"/>
    </xf>
    <xf numFmtId="164" fontId="0" fillId="0" borderId="63" xfId="1" applyNumberFormat="1" applyFont="1" applyBorder="1" applyAlignment="1"/>
    <xf numFmtId="0" fontId="0" fillId="0" borderId="64" xfId="0" applyNumberFormat="1" applyBorder="1" applyAlignment="1"/>
    <xf numFmtId="166" fontId="0" fillId="0" borderId="62" xfId="0" applyNumberFormat="1" applyBorder="1" applyAlignment="1"/>
    <xf numFmtId="166" fontId="0" fillId="0" borderId="64" xfId="0" applyNumberFormat="1" applyBorder="1" applyAlignment="1"/>
    <xf numFmtId="166" fontId="0" fillId="0" borderId="63" xfId="0" applyNumberFormat="1" applyBorder="1" applyAlignment="1"/>
    <xf numFmtId="0" fontId="0" fillId="0" borderId="63" xfId="0" applyNumberFormat="1" applyBorder="1" applyAlignment="1"/>
    <xf numFmtId="169" fontId="0" fillId="0" borderId="62" xfId="0" applyNumberFormat="1" applyBorder="1"/>
    <xf numFmtId="167" fontId="12" fillId="0" borderId="0" xfId="3" applyNumberFormat="1" applyFont="1" applyBorder="1" applyAlignment="1">
      <alignment vertical="top" wrapText="1"/>
    </xf>
    <xf numFmtId="0" fontId="14" fillId="0" borderId="24" xfId="3" applyFont="1" applyBorder="1" applyAlignment="1">
      <alignment vertical="top" wrapText="1"/>
    </xf>
    <xf numFmtId="170" fontId="0" fillId="0" borderId="0" xfId="0" applyNumberFormat="1" applyAlignment="1">
      <alignment horizontal="center"/>
    </xf>
    <xf numFmtId="168" fontId="0" fillId="0" borderId="0" xfId="0" applyNumberFormat="1"/>
    <xf numFmtId="167" fontId="14" fillId="0" borderId="23" xfId="3" applyNumberFormat="1" applyFont="1" applyFill="1" applyBorder="1" applyAlignment="1">
      <alignment horizontal="right" vertical="top" wrapText="1"/>
    </xf>
    <xf numFmtId="0" fontId="14" fillId="0" borderId="38" xfId="3" applyFont="1" applyFill="1" applyBorder="1" applyAlignment="1">
      <alignment vertical="top" wrapText="1"/>
    </xf>
    <xf numFmtId="0" fontId="14" fillId="0" borderId="24" xfId="3" applyFont="1" applyFill="1" applyBorder="1" applyAlignment="1">
      <alignment vertical="top" wrapText="1"/>
    </xf>
    <xf numFmtId="0" fontId="14" fillId="0" borderId="23" xfId="3" applyFont="1" applyFill="1" applyBorder="1" applyAlignment="1">
      <alignment vertical="top" wrapText="1"/>
    </xf>
    <xf numFmtId="167" fontId="14" fillId="0" borderId="38" xfId="3" applyNumberFormat="1" applyFont="1" applyBorder="1" applyAlignment="1">
      <alignment vertical="top" wrapText="1"/>
    </xf>
    <xf numFmtId="0" fontId="2" fillId="0" borderId="0" xfId="0" applyFont="1" applyBorder="1"/>
    <xf numFmtId="0" fontId="2" fillId="14" borderId="0" xfId="0" applyFont="1" applyFill="1"/>
    <xf numFmtId="0" fontId="2" fillId="13" borderId="0" xfId="0" applyFont="1" applyFill="1"/>
    <xf numFmtId="0" fontId="14" fillId="0" borderId="24" xfId="3" applyFont="1" applyBorder="1" applyAlignment="1">
      <alignment wrapText="1"/>
    </xf>
    <xf numFmtId="167" fontId="14" fillId="0" borderId="0" xfId="3" applyNumberFormat="1" applyFont="1" applyBorder="1" applyAlignment="1">
      <alignment horizontal="right" vertical="top" wrapText="1"/>
    </xf>
    <xf numFmtId="0" fontId="0" fillId="0" borderId="24" xfId="0" applyBorder="1" applyAlignment="1">
      <alignment horizontal="left" vertical="top" wrapText="1"/>
    </xf>
    <xf numFmtId="168" fontId="14" fillId="0" borderId="32" xfId="4" applyNumberFormat="1" applyFont="1" applyBorder="1" applyAlignment="1">
      <alignment vertical="center"/>
    </xf>
    <xf numFmtId="168" fontId="14" fillId="0" borderId="32" xfId="4" applyNumberFormat="1" applyFont="1" applyBorder="1" applyAlignment="1">
      <alignment horizontal="right" vertical="center" wrapText="1"/>
    </xf>
    <xf numFmtId="166" fontId="19" fillId="0" borderId="4" xfId="0" applyNumberFormat="1" applyFont="1" applyBorder="1"/>
    <xf numFmtId="164" fontId="14" fillId="8" borderId="0" xfId="1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4" fillId="0" borderId="23" xfId="3" applyFont="1" applyFill="1" applyBorder="1" applyAlignment="1">
      <alignment horizontal="left" vertical="top" wrapText="1"/>
    </xf>
    <xf numFmtId="0" fontId="14" fillId="0" borderId="24" xfId="3" applyFont="1" applyFill="1" applyBorder="1" applyAlignment="1">
      <alignment horizontal="left" vertical="top" wrapText="1"/>
    </xf>
    <xf numFmtId="0" fontId="12" fillId="0" borderId="23" xfId="3" applyFont="1" applyBorder="1" applyAlignment="1">
      <alignment vertical="top" wrapText="1"/>
    </xf>
    <xf numFmtId="0" fontId="12" fillId="0" borderId="24" xfId="3" applyFont="1" applyBorder="1" applyAlignment="1">
      <alignment vertical="top" wrapText="1"/>
    </xf>
    <xf numFmtId="0" fontId="12" fillId="0" borderId="29" xfId="3" applyFont="1" applyBorder="1" applyAlignment="1">
      <alignment vertical="top" wrapText="1"/>
    </xf>
    <xf numFmtId="0" fontId="12" fillId="0" borderId="30" xfId="3" applyFont="1" applyBorder="1" applyAlignment="1">
      <alignment vertical="top" wrapText="1"/>
    </xf>
    <xf numFmtId="0" fontId="12" fillId="0" borderId="23" xfId="3" applyFont="1" applyFill="1" applyBorder="1" applyAlignment="1">
      <alignment vertical="top" wrapText="1"/>
    </xf>
    <xf numFmtId="0" fontId="12" fillId="0" borderId="24" xfId="3" applyFont="1" applyFill="1" applyBorder="1" applyAlignment="1">
      <alignment vertical="top" wrapText="1"/>
    </xf>
    <xf numFmtId="0" fontId="14" fillId="0" borderId="23" xfId="3" applyFont="1" applyFill="1" applyBorder="1" applyAlignment="1">
      <alignment vertical="top" wrapText="1"/>
    </xf>
    <xf numFmtId="0" fontId="14" fillId="0" borderId="24" xfId="3" applyFont="1" applyFill="1" applyBorder="1" applyAlignment="1">
      <alignment vertical="top" wrapText="1"/>
    </xf>
    <xf numFmtId="0" fontId="14" fillId="0" borderId="23" xfId="3" applyFont="1" applyBorder="1" applyAlignment="1">
      <alignment vertical="top" wrapText="1"/>
    </xf>
    <xf numFmtId="0" fontId="14" fillId="0" borderId="24" xfId="3" applyFont="1" applyBorder="1" applyAlignment="1">
      <alignment vertical="top" wrapText="1"/>
    </xf>
    <xf numFmtId="0" fontId="15" fillId="0" borderId="23" xfId="3" applyFont="1" applyBorder="1" applyAlignment="1">
      <alignment vertical="top" wrapText="1"/>
    </xf>
    <xf numFmtId="0" fontId="15" fillId="0" borderId="24" xfId="3" applyFont="1" applyBorder="1" applyAlignment="1">
      <alignment vertical="top" wrapText="1"/>
    </xf>
    <xf numFmtId="0" fontId="14" fillId="0" borderId="23" xfId="3" applyFont="1" applyBorder="1" applyAlignment="1">
      <alignment horizontal="left" vertical="top" wrapText="1"/>
    </xf>
    <xf numFmtId="0" fontId="14" fillId="0" borderId="24" xfId="3" applyFont="1" applyBorder="1" applyAlignment="1">
      <alignment horizontal="left" vertical="top" wrapText="1"/>
    </xf>
    <xf numFmtId="0" fontId="12" fillId="0" borderId="25" xfId="3" applyFont="1" applyBorder="1" applyAlignment="1">
      <alignment vertical="top" wrapText="1"/>
    </xf>
    <xf numFmtId="0" fontId="12" fillId="0" borderId="28" xfId="3" applyFont="1" applyBorder="1" applyAlignment="1">
      <alignment vertical="top" wrapText="1"/>
    </xf>
    <xf numFmtId="0" fontId="12" fillId="0" borderId="34" xfId="3" applyFont="1" applyFill="1" applyBorder="1" applyAlignment="1">
      <alignment vertical="top" wrapText="1"/>
    </xf>
    <xf numFmtId="0" fontId="12" fillId="0" borderId="35" xfId="3" applyFont="1" applyFill="1" applyBorder="1" applyAlignment="1">
      <alignment vertical="top" wrapText="1"/>
    </xf>
    <xf numFmtId="0" fontId="14" fillId="0" borderId="23" xfId="3" applyFont="1" applyFill="1" applyBorder="1" applyAlignment="1">
      <alignment horizontal="left" vertical="center" wrapText="1"/>
    </xf>
    <xf numFmtId="0" fontId="14" fillId="0" borderId="24" xfId="3" applyFont="1" applyFill="1" applyBorder="1" applyAlignment="1">
      <alignment horizontal="left" vertical="center" wrapText="1"/>
    </xf>
  </cellXfs>
  <cellStyles count="5">
    <cellStyle name="Currency" xfId="2" builtinId="4"/>
    <cellStyle name="Currency 2" xfId="4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2" name="Picture 1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7050" y="140495"/>
          <a:ext cx="1382933" cy="9496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ropbox%20(umn.edu)\Proposals\NCHRP%2024-48\budget\NCHRP%2024_48%20ProjectBudgetWorkbook_January%2025%202018_JS%20Approved_1300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Budget"/>
      <sheetName val="Rates"/>
      <sheetName val="Schedule"/>
      <sheetName val="FOR SPA"/>
    </sheetNames>
    <sheetDataSet>
      <sheetData sheetId="0"/>
      <sheetData sheetId="1"/>
      <sheetData sheetId="2">
        <row r="4">
          <cell r="A4">
            <v>0</v>
          </cell>
          <cell r="I4">
            <v>0.54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8" workbookViewId="0">
      <selection activeCell="M24" activeCellId="1" sqref="M7 M24"/>
    </sheetView>
  </sheetViews>
  <sheetFormatPr defaultRowHeight="15" x14ac:dyDescent="0.25"/>
  <cols>
    <col min="1" max="1" width="10.5703125" customWidth="1"/>
    <col min="2" max="3" width="12.140625" bestFit="1" customWidth="1"/>
    <col min="6" max="6" width="10.28515625" customWidth="1"/>
    <col min="9" max="9" width="13.42578125" customWidth="1"/>
    <col min="10" max="10" width="9.140625" bestFit="1" customWidth="1"/>
    <col min="11" max="11" width="14.42578125" customWidth="1"/>
    <col min="12" max="13" width="11.140625" bestFit="1" customWidth="1"/>
    <col min="14" max="14" width="13.28515625" bestFit="1" customWidth="1"/>
  </cols>
  <sheetData>
    <row r="1" spans="1:14" x14ac:dyDescent="0.25">
      <c r="A1" s="2" t="s">
        <v>0</v>
      </c>
      <c r="B1" t="s">
        <v>57</v>
      </c>
      <c r="E1" t="s">
        <v>59</v>
      </c>
      <c r="F1" t="s">
        <v>60</v>
      </c>
    </row>
    <row r="2" spans="1:14" x14ac:dyDescent="0.25">
      <c r="A2" s="2" t="s">
        <v>67</v>
      </c>
      <c r="D2" t="s">
        <v>58</v>
      </c>
      <c r="E2" s="42">
        <v>44013</v>
      </c>
      <c r="F2" s="42">
        <v>44742</v>
      </c>
    </row>
    <row r="3" spans="1:14" x14ac:dyDescent="0.25">
      <c r="A3" s="2" t="s">
        <v>17</v>
      </c>
      <c r="B3" s="1">
        <v>43529</v>
      </c>
    </row>
    <row r="4" spans="1:14" x14ac:dyDescent="0.25">
      <c r="A4" s="2"/>
      <c r="B4" s="1"/>
    </row>
    <row r="5" spans="1:14" x14ac:dyDescent="0.25">
      <c r="A5" s="2" t="s">
        <v>0</v>
      </c>
      <c r="B5" s="100" t="s">
        <v>163</v>
      </c>
    </row>
    <row r="6" spans="1:14" ht="15.75" thickBot="1" x14ac:dyDescent="0.3">
      <c r="A6" s="2"/>
      <c r="B6" s="54"/>
      <c r="I6" t="s">
        <v>157</v>
      </c>
      <c r="J6" t="s">
        <v>158</v>
      </c>
      <c r="K6" t="s">
        <v>159</v>
      </c>
      <c r="L6" t="s">
        <v>160</v>
      </c>
      <c r="M6" t="s">
        <v>161</v>
      </c>
      <c r="N6" t="s">
        <v>26</v>
      </c>
    </row>
    <row r="7" spans="1:14" ht="15.75" thickBot="1" x14ac:dyDescent="0.3">
      <c r="A7" s="98" t="s">
        <v>113</v>
      </c>
      <c r="B7" s="99"/>
      <c r="C7" s="99"/>
      <c r="D7" s="99"/>
      <c r="E7" s="99"/>
      <c r="F7" s="99"/>
      <c r="G7" s="99"/>
      <c r="H7" s="99" t="s">
        <v>26</v>
      </c>
      <c r="I7" s="96">
        <f>I8+I9+I15</f>
        <v>110645.38926118628</v>
      </c>
      <c r="J7" s="96">
        <f>J8+J9+J15</f>
        <v>12600</v>
      </c>
      <c r="K7" s="96">
        <f>K8+K9+K15</f>
        <v>35055</v>
      </c>
      <c r="L7" s="96">
        <f>SUM(L8:L15)</f>
        <v>8000</v>
      </c>
      <c r="M7" s="96">
        <f>M8+M9+M15</f>
        <v>12099.199999999999</v>
      </c>
      <c r="N7" s="97">
        <f>SUM(I7:M7)</f>
        <v>178399.58926118631</v>
      </c>
    </row>
    <row r="8" spans="1:14" x14ac:dyDescent="0.25">
      <c r="A8" t="s">
        <v>68</v>
      </c>
      <c r="B8" t="s">
        <v>115</v>
      </c>
      <c r="H8" t="s">
        <v>162</v>
      </c>
      <c r="I8" s="95">
        <f>'Activity 1'!F35</f>
        <v>15284.900376923077</v>
      </c>
      <c r="J8" s="95">
        <f>'Activity 1'!F40</f>
        <v>4000</v>
      </c>
      <c r="K8" s="95">
        <f>'Activity 1'!F54</f>
        <v>200</v>
      </c>
      <c r="L8" s="95">
        <f>'Activity 1'!F58</f>
        <v>0</v>
      </c>
      <c r="M8" s="95">
        <f>'Activity 1'!F63</f>
        <v>208.79999999999998</v>
      </c>
      <c r="N8" s="95"/>
    </row>
    <row r="9" spans="1:14" x14ac:dyDescent="0.25">
      <c r="A9" t="s">
        <v>85</v>
      </c>
      <c r="B9" t="s">
        <v>116</v>
      </c>
      <c r="I9" s="95">
        <f>'Activity 1'!U35</f>
        <v>91108.55130460771</v>
      </c>
      <c r="J9" s="95">
        <f>'Activity 1'!U40</f>
        <v>8600</v>
      </c>
      <c r="K9" s="95">
        <f>K10+K11+K12+K13+K14</f>
        <v>34855</v>
      </c>
      <c r="L9" s="95">
        <f>'Activity 1'!U58</f>
        <v>8000</v>
      </c>
      <c r="M9" s="95">
        <f>'Activity 1'!U63</f>
        <v>11681.6</v>
      </c>
      <c r="N9" s="95"/>
    </row>
    <row r="10" spans="1:14" x14ac:dyDescent="0.25">
      <c r="A10" s="53" t="s">
        <v>117</v>
      </c>
      <c r="B10" s="53" t="s">
        <v>121</v>
      </c>
      <c r="H10" t="s">
        <v>278</v>
      </c>
      <c r="I10" s="95"/>
      <c r="J10" s="95">
        <f>'Activity 1'!K40</f>
        <v>600</v>
      </c>
      <c r="K10" s="95">
        <f>'Activity 1'!K54</f>
        <v>18450</v>
      </c>
      <c r="L10" s="95"/>
      <c r="M10" s="95"/>
      <c r="N10" s="95"/>
    </row>
    <row r="11" spans="1:14" x14ac:dyDescent="0.25">
      <c r="A11" s="53" t="s">
        <v>118</v>
      </c>
      <c r="B11" s="53" t="s">
        <v>122</v>
      </c>
      <c r="H11" t="s">
        <v>278</v>
      </c>
      <c r="I11" s="95"/>
      <c r="J11" s="95">
        <f>'Activity 1'!M40</f>
        <v>4000</v>
      </c>
      <c r="K11" s="95">
        <f>'Activity 1'!M54</f>
        <v>2750</v>
      </c>
      <c r="L11" s="95"/>
      <c r="M11" s="95"/>
      <c r="N11" s="95"/>
    </row>
    <row r="12" spans="1:14" x14ac:dyDescent="0.25">
      <c r="A12" s="53" t="s">
        <v>119</v>
      </c>
      <c r="B12" s="53" t="s">
        <v>166</v>
      </c>
      <c r="H12" t="s">
        <v>278</v>
      </c>
      <c r="I12" s="95"/>
      <c r="J12" s="95">
        <f>'Activity 1'!O40</f>
        <v>0</v>
      </c>
      <c r="K12" s="95">
        <f>'Activity 1'!O54</f>
        <v>4140</v>
      </c>
      <c r="L12" s="95"/>
      <c r="M12" s="95">
        <f>'Activity 1'!O63</f>
        <v>5840.8</v>
      </c>
      <c r="N12" s="95"/>
    </row>
    <row r="13" spans="1:14" x14ac:dyDescent="0.25">
      <c r="A13" s="53" t="s">
        <v>120</v>
      </c>
      <c r="B13" s="53" t="s">
        <v>123</v>
      </c>
      <c r="H13" t="s">
        <v>278</v>
      </c>
      <c r="I13" s="95"/>
      <c r="J13" s="95">
        <f>'Activity 1'!Q40</f>
        <v>0</v>
      </c>
      <c r="K13" s="95">
        <f>'Activity 1'!Q54</f>
        <v>0</v>
      </c>
      <c r="L13" s="95"/>
      <c r="M13" s="95"/>
      <c r="N13" s="95"/>
    </row>
    <row r="14" spans="1:14" x14ac:dyDescent="0.25">
      <c r="A14" s="53" t="s">
        <v>167</v>
      </c>
      <c r="B14" s="53" t="s">
        <v>168</v>
      </c>
      <c r="H14" t="s">
        <v>278</v>
      </c>
      <c r="I14" s="95"/>
      <c r="J14" s="95">
        <f>'Activity 1'!S40</f>
        <v>4000</v>
      </c>
      <c r="K14" s="95">
        <f>'Activity 1'!S54</f>
        <v>9515</v>
      </c>
      <c r="L14" s="95"/>
      <c r="M14" s="95">
        <f>'Activity 1'!S63</f>
        <v>5840.8</v>
      </c>
      <c r="N14" s="95"/>
    </row>
    <row r="15" spans="1:14" x14ac:dyDescent="0.25">
      <c r="A15" t="s">
        <v>72</v>
      </c>
      <c r="B15" t="s">
        <v>74</v>
      </c>
      <c r="I15" s="95">
        <f>'Activity 1'!Z35</f>
        <v>4251.9375796555005</v>
      </c>
      <c r="J15" s="95">
        <f>'Activity 1'!Z40</f>
        <v>0</v>
      </c>
      <c r="K15" s="95">
        <f>'Activity 1'!Z54</f>
        <v>0</v>
      </c>
      <c r="L15" s="95">
        <f>'Activity 1'!Z58</f>
        <v>0</v>
      </c>
      <c r="M15" s="95">
        <f>'Activity 1'!Z63</f>
        <v>208.79999999999998</v>
      </c>
      <c r="N15" s="95"/>
    </row>
    <row r="16" spans="1:14" x14ac:dyDescent="0.25">
      <c r="I16" s="95"/>
      <c r="J16" s="95"/>
      <c r="K16" s="95"/>
      <c r="L16" s="95"/>
      <c r="M16" s="95"/>
      <c r="N16" s="95"/>
    </row>
    <row r="17" spans="1:15" ht="15.75" thickBot="1" x14ac:dyDescent="0.3">
      <c r="I17" t="s">
        <v>157</v>
      </c>
      <c r="J17" t="s">
        <v>158</v>
      </c>
      <c r="K17" t="s">
        <v>159</v>
      </c>
      <c r="L17" t="s">
        <v>160</v>
      </c>
      <c r="M17" t="s">
        <v>161</v>
      </c>
      <c r="N17" t="s">
        <v>26</v>
      </c>
    </row>
    <row r="18" spans="1:15" ht="15.75" thickBot="1" x14ac:dyDescent="0.3">
      <c r="A18" s="98" t="s">
        <v>124</v>
      </c>
      <c r="B18" s="99"/>
      <c r="C18" s="99"/>
      <c r="D18" s="99"/>
      <c r="E18" s="99"/>
      <c r="F18" s="99"/>
      <c r="G18" s="99"/>
      <c r="H18" s="99"/>
      <c r="I18" s="96">
        <f>SUM(I19:I21)</f>
        <v>19969.980153846158</v>
      </c>
      <c r="J18" s="96">
        <f t="shared" ref="J18:M18" si="0">SUM(J19:J21)</f>
        <v>59000</v>
      </c>
      <c r="K18" s="96">
        <f t="shared" si="0"/>
        <v>400</v>
      </c>
      <c r="L18" s="96">
        <v>0</v>
      </c>
      <c r="M18" s="96">
        <f t="shared" si="0"/>
        <v>0</v>
      </c>
      <c r="N18" s="97">
        <f>SUM(I18:M18)</f>
        <v>79369.980153846162</v>
      </c>
    </row>
    <row r="19" spans="1:15" x14ac:dyDescent="0.25">
      <c r="A19" t="s">
        <v>100</v>
      </c>
      <c r="B19" t="s">
        <v>103</v>
      </c>
      <c r="I19" s="95">
        <f>'Activity 2'!F22</f>
        <v>11207.275826923078</v>
      </c>
      <c r="J19" s="95">
        <f>'Activity 2'!F28</f>
        <v>15000</v>
      </c>
      <c r="K19" s="95">
        <f>'Activity 2'!F33</f>
        <v>0</v>
      </c>
      <c r="L19" s="95">
        <v>0</v>
      </c>
      <c r="M19" s="95">
        <f>'Activity 2'!F37</f>
        <v>0</v>
      </c>
    </row>
    <row r="20" spans="1:15" x14ac:dyDescent="0.25">
      <c r="A20" t="s">
        <v>101</v>
      </c>
      <c r="B20" t="s">
        <v>104</v>
      </c>
      <c r="I20" s="95">
        <f>'Activity 2'!H22</f>
        <v>6954.9187615384617</v>
      </c>
      <c r="J20" s="95">
        <f>'Activity 2'!H28</f>
        <v>35000</v>
      </c>
      <c r="K20" s="95">
        <f>'Activity 2'!H33</f>
        <v>200</v>
      </c>
      <c r="L20" s="95">
        <v>0</v>
      </c>
      <c r="M20" s="95">
        <f>'Activity 2'!H37</f>
        <v>0</v>
      </c>
    </row>
    <row r="21" spans="1:15" x14ac:dyDescent="0.25">
      <c r="A21" t="s">
        <v>102</v>
      </c>
      <c r="B21" t="s">
        <v>105</v>
      </c>
      <c r="I21" s="95">
        <f>'Activity 2'!J22</f>
        <v>1807.7855653846154</v>
      </c>
      <c r="J21" s="95">
        <f>'Activity 2'!J28</f>
        <v>9000</v>
      </c>
      <c r="K21" s="95">
        <f>'Activity 2'!J33</f>
        <v>200</v>
      </c>
      <c r="L21" s="95">
        <v>0</v>
      </c>
      <c r="M21" s="95">
        <f>'Activity 2'!J37</f>
        <v>0</v>
      </c>
    </row>
    <row r="22" spans="1:15" x14ac:dyDescent="0.25">
      <c r="I22" t="s">
        <v>157</v>
      </c>
      <c r="J22" t="s">
        <v>158</v>
      </c>
      <c r="K22" t="s">
        <v>159</v>
      </c>
      <c r="L22" t="s">
        <v>160</v>
      </c>
      <c r="M22" t="s">
        <v>161</v>
      </c>
      <c r="N22" t="s">
        <v>26</v>
      </c>
    </row>
    <row r="23" spans="1:15" ht="15.75" thickBot="1" x14ac:dyDescent="0.3"/>
    <row r="24" spans="1:15" ht="15.75" thickBot="1" x14ac:dyDescent="0.3">
      <c r="A24" s="98" t="s">
        <v>125</v>
      </c>
      <c r="B24" s="99"/>
      <c r="C24" s="99"/>
      <c r="D24" s="99"/>
      <c r="E24" s="99"/>
      <c r="F24" s="99"/>
      <c r="G24" s="99"/>
      <c r="H24" s="99"/>
      <c r="I24" s="96">
        <f>SUM(I25:I27)</f>
        <v>54349.183697307693</v>
      </c>
      <c r="J24" s="96">
        <f t="shared" ref="J24" si="1">SUM(J25:J27)</f>
        <v>50000</v>
      </c>
      <c r="K24" s="96">
        <f t="shared" ref="K24" si="2">SUM(K25:K27)</f>
        <v>0</v>
      </c>
      <c r="L24" s="96">
        <v>0</v>
      </c>
      <c r="M24" s="96">
        <f t="shared" ref="M24" si="3">SUM(M25:M27)</f>
        <v>579.99999999999989</v>
      </c>
      <c r="N24" s="97">
        <f>SUM(I24:M24)</f>
        <v>104929.18369730769</v>
      </c>
    </row>
    <row r="25" spans="1:15" x14ac:dyDescent="0.25">
      <c r="A25" t="s">
        <v>106</v>
      </c>
      <c r="B25" t="s">
        <v>109</v>
      </c>
      <c r="I25" s="95">
        <f>Actvity3!F33</f>
        <v>8531.6173734615386</v>
      </c>
      <c r="J25" s="95">
        <f>Actvity3!F36</f>
        <v>0</v>
      </c>
      <c r="K25" s="95">
        <v>0</v>
      </c>
      <c r="L25" s="95">
        <v>0</v>
      </c>
      <c r="M25" s="95">
        <f>Actvity3!F39</f>
        <v>115.99999999999999</v>
      </c>
    </row>
    <row r="26" spans="1:15" x14ac:dyDescent="0.25">
      <c r="A26" t="s">
        <v>107</v>
      </c>
      <c r="B26" t="s">
        <v>110</v>
      </c>
      <c r="I26" s="95">
        <f>Actvity3!H33</f>
        <v>26309.776911923076</v>
      </c>
      <c r="J26" s="95">
        <f>Actvity3!H36</f>
        <v>50000</v>
      </c>
      <c r="K26" s="95">
        <v>0</v>
      </c>
      <c r="L26" s="95">
        <v>0</v>
      </c>
      <c r="M26" s="95">
        <f>Actvity3!H39</f>
        <v>231.99999999999997</v>
      </c>
    </row>
    <row r="27" spans="1:15" x14ac:dyDescent="0.25">
      <c r="A27" t="s">
        <v>108</v>
      </c>
      <c r="B27" t="s">
        <v>111</v>
      </c>
      <c r="I27" s="95">
        <f>Actvity3!J33</f>
        <v>19507.789411923077</v>
      </c>
      <c r="J27" s="95">
        <f>Actvity3!J36</f>
        <v>0</v>
      </c>
      <c r="K27" s="95">
        <v>0</v>
      </c>
      <c r="L27" s="95">
        <v>0</v>
      </c>
      <c r="M27" s="95">
        <f>Actvity3!J39</f>
        <v>231.99999999999997</v>
      </c>
    </row>
    <row r="29" spans="1:15" x14ac:dyDescent="0.25">
      <c r="A29" t="s">
        <v>191</v>
      </c>
      <c r="N29" s="132">
        <f>SUM(N24+N18+N7)</f>
        <v>362698.75311234017</v>
      </c>
      <c r="O29" t="s">
        <v>16</v>
      </c>
    </row>
    <row r="30" spans="1:15" ht="32.450000000000003" customHeight="1" x14ac:dyDescent="0.25">
      <c r="B30" s="130" t="s">
        <v>197</v>
      </c>
      <c r="C30" s="130" t="s">
        <v>198</v>
      </c>
      <c r="D30" t="s">
        <v>199</v>
      </c>
      <c r="N30" s="133">
        <f>N29*0.54</f>
        <v>195857.32668066371</v>
      </c>
      <c r="O30" t="s">
        <v>203</v>
      </c>
    </row>
    <row r="31" spans="1:15" x14ac:dyDescent="0.25">
      <c r="A31" t="s">
        <v>195</v>
      </c>
      <c r="B31" s="95">
        <f>'Activity 2'!P10+'Activity 1'!AE31+Actvity3!N28</f>
        <v>33594.816371064619</v>
      </c>
      <c r="C31" s="95">
        <f>3*52*40*'Activity 2'!D11</f>
        <v>258206.34</v>
      </c>
      <c r="D31" s="312">
        <f>B31/C31*100</f>
        <v>13.010841008421645</v>
      </c>
    </row>
    <row r="32" spans="1:15" x14ac:dyDescent="0.25">
      <c r="A32" t="s">
        <v>192</v>
      </c>
      <c r="B32" s="95">
        <f>'Activity 1'!AE26</f>
        <v>9373.4036745120011</v>
      </c>
      <c r="C32" s="95">
        <f>3*52*40*SAFLrates!D17</f>
        <v>329035.19999999995</v>
      </c>
      <c r="D32" s="312">
        <f t="shared" ref="D32:D35" si="4">B32/C32*100</f>
        <v>2.8487540769230777</v>
      </c>
    </row>
    <row r="33" spans="1:4" x14ac:dyDescent="0.25">
      <c r="A33" t="s">
        <v>194</v>
      </c>
      <c r="B33" s="95">
        <f>SUM('Activity 1'!AE27:AE29,'Activity 1'!AE32)+'Activity 2'!P11+Actvity3!N29</f>
        <v>132519.12475036201</v>
      </c>
      <c r="C33" s="95">
        <f>3*52*40*'Activity 1'!D16</f>
        <v>142672.60800000001</v>
      </c>
      <c r="D33" s="312">
        <f>B33/C33*100</f>
        <v>92.883368859677674</v>
      </c>
    </row>
    <row r="34" spans="1:4" x14ac:dyDescent="0.25">
      <c r="A34" t="s">
        <v>9</v>
      </c>
      <c r="B34" s="95">
        <f>'Activity 1'!AE30</f>
        <v>7802.9769399999996</v>
      </c>
      <c r="C34" s="95">
        <f>3*52*40*'Activity 1'!D18</f>
        <v>72758.399999999994</v>
      </c>
      <c r="D34" s="312">
        <f>B34/C34*100</f>
        <v>10.724503205128205</v>
      </c>
    </row>
    <row r="35" spans="1:4" x14ac:dyDescent="0.25">
      <c r="A35" t="s">
        <v>193</v>
      </c>
      <c r="B35" s="95">
        <f>'Activity 2'!P12+'Activity 1'!AE33+Actvity3!N30</f>
        <v>1674.2313764015</v>
      </c>
      <c r="C35" s="95">
        <f>3*52*40*'Activity 2'!D13</f>
        <v>133099.19999999998</v>
      </c>
      <c r="D35" s="312">
        <f t="shared" si="4"/>
        <v>1.2578823737494293</v>
      </c>
    </row>
    <row r="36" spans="1:4" x14ac:dyDescent="0.25">
      <c r="B36" s="313">
        <f>SUM(B31:B35)</f>
        <v>184964.55311234013</v>
      </c>
      <c r="C36" s="313"/>
    </row>
    <row r="37" spans="1:4" x14ac:dyDescent="0.25">
      <c r="C37" t="s">
        <v>313</v>
      </c>
    </row>
  </sheetData>
  <pageMargins left="0.7" right="0.7" top="0.75" bottom="0.75" header="0.3" footer="0.3"/>
  <pageSetup scale="7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opLeftCell="A14" zoomScale="55" zoomScaleNormal="55" workbookViewId="0">
      <selection activeCell="M24" activeCellId="1" sqref="M7 M24"/>
    </sheetView>
  </sheetViews>
  <sheetFormatPr defaultRowHeight="15" x14ac:dyDescent="0.25"/>
  <cols>
    <col min="1" max="1" width="12.7109375" customWidth="1"/>
    <col min="2" max="2" width="18.7109375" customWidth="1"/>
    <col min="3" max="3" width="14.85546875" customWidth="1"/>
    <col min="4" max="4" width="15.85546875" customWidth="1"/>
    <col min="5" max="5" width="14.28515625" customWidth="1"/>
    <col min="6" max="6" width="12.85546875" customWidth="1"/>
    <col min="7" max="7" width="5" customWidth="1"/>
    <col min="8" max="8" width="18.5703125" customWidth="1"/>
    <col min="9" max="9" width="12.85546875" customWidth="1"/>
    <col min="10" max="10" width="17.7109375" customWidth="1"/>
    <col min="11" max="11" width="10.42578125" customWidth="1"/>
    <col min="12" max="12" width="14.42578125" customWidth="1"/>
    <col min="13" max="13" width="10.42578125" customWidth="1"/>
    <col min="14" max="14" width="17.140625" customWidth="1"/>
    <col min="15" max="15" width="11.7109375" customWidth="1"/>
    <col min="16" max="17" width="10.42578125" customWidth="1"/>
    <col min="18" max="18" width="18.28515625" customWidth="1"/>
    <col min="19" max="19" width="11.7109375" customWidth="1"/>
    <col min="20" max="21" width="10.42578125" customWidth="1"/>
    <col min="22" max="22" width="2.28515625" customWidth="1"/>
    <col min="23" max="23" width="16.140625" customWidth="1"/>
    <col min="24" max="26" width="10.42578125" customWidth="1"/>
    <col min="27" max="27" width="4.28515625" customWidth="1"/>
    <col min="28" max="28" width="28" customWidth="1"/>
    <col min="29" max="29" width="12.7109375" customWidth="1"/>
    <col min="31" max="31" width="14.28515625" customWidth="1"/>
    <col min="32" max="32" width="14.140625" customWidth="1"/>
    <col min="33" max="33" width="17.5703125" customWidth="1"/>
    <col min="34" max="34" width="18.28515625" bestFit="1" customWidth="1"/>
    <col min="35" max="35" width="18.28515625" customWidth="1"/>
    <col min="36" max="36" width="23.85546875" customWidth="1"/>
    <col min="39" max="40" width="15" bestFit="1" customWidth="1"/>
    <col min="41" max="41" width="26.85546875" bestFit="1" customWidth="1"/>
    <col min="42" max="43" width="19" customWidth="1"/>
    <col min="44" max="44" width="27.42578125" bestFit="1" customWidth="1"/>
    <col min="45" max="46" width="20.42578125" customWidth="1"/>
  </cols>
  <sheetData>
    <row r="1" spans="1:47" x14ac:dyDescent="0.25">
      <c r="G1" s="57"/>
      <c r="L1" t="s">
        <v>276</v>
      </c>
      <c r="Q1" s="42"/>
      <c r="R1" s="42"/>
      <c r="S1" s="42"/>
      <c r="T1" s="42"/>
      <c r="U1" s="42"/>
      <c r="V1" s="57"/>
      <c r="W1" s="42"/>
      <c r="X1" s="42"/>
    </row>
    <row r="2" spans="1:47" x14ac:dyDescent="0.25">
      <c r="A2" s="2" t="s">
        <v>0</v>
      </c>
      <c r="B2" t="s">
        <v>57</v>
      </c>
      <c r="E2" t="s">
        <v>59</v>
      </c>
      <c r="F2" t="s">
        <v>60</v>
      </c>
      <c r="G2" s="57"/>
      <c r="L2" t="s">
        <v>271</v>
      </c>
      <c r="V2" s="57"/>
    </row>
    <row r="3" spans="1:47" x14ac:dyDescent="0.25">
      <c r="A3" s="2" t="s">
        <v>275</v>
      </c>
      <c r="D3" t="s">
        <v>58</v>
      </c>
      <c r="E3" s="42">
        <v>44013</v>
      </c>
      <c r="F3" s="42">
        <v>45107</v>
      </c>
      <c r="G3" s="292"/>
      <c r="H3" s="42"/>
      <c r="I3" s="42"/>
      <c r="L3" s="2" t="s">
        <v>272</v>
      </c>
      <c r="V3" s="292"/>
    </row>
    <row r="4" spans="1:47" ht="15.75" x14ac:dyDescent="0.25">
      <c r="A4" s="2" t="s">
        <v>17</v>
      </c>
      <c r="B4" s="1">
        <v>43559</v>
      </c>
      <c r="G4" s="57"/>
      <c r="L4" t="s">
        <v>273</v>
      </c>
      <c r="V4" s="57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180"/>
    </row>
    <row r="5" spans="1:47" x14ac:dyDescent="0.25">
      <c r="A5" s="2"/>
      <c r="B5" s="1"/>
      <c r="G5" s="57"/>
      <c r="L5" t="s">
        <v>274</v>
      </c>
      <c r="R5" t="s">
        <v>169</v>
      </c>
      <c r="V5" s="57"/>
      <c r="AU5" s="180"/>
    </row>
    <row r="6" spans="1:47" ht="15.75" x14ac:dyDescent="0.25">
      <c r="A6" s="2"/>
      <c r="B6" s="1"/>
      <c r="G6" s="57"/>
      <c r="L6" t="s">
        <v>279</v>
      </c>
      <c r="V6" s="57"/>
      <c r="AH6" s="211"/>
      <c r="AI6" s="211"/>
      <c r="AJ6" s="214" t="s">
        <v>229</v>
      </c>
      <c r="AK6" s="214"/>
      <c r="AL6" s="211"/>
      <c r="AM6" s="211"/>
      <c r="AN6" s="211"/>
      <c r="AO6" s="216" t="s">
        <v>230</v>
      </c>
      <c r="AP6" s="211"/>
      <c r="AQ6" s="211"/>
      <c r="AR6" s="217" t="s">
        <v>231</v>
      </c>
      <c r="AS6" s="211"/>
      <c r="AT6" s="211"/>
      <c r="AU6" s="180"/>
    </row>
    <row r="7" spans="1:47" ht="15.75" x14ac:dyDescent="0.25">
      <c r="A7" s="2"/>
      <c r="B7" s="1"/>
      <c r="G7" s="57"/>
      <c r="L7" t="s">
        <v>283</v>
      </c>
      <c r="M7">
        <v>2080</v>
      </c>
      <c r="N7" t="s">
        <v>284</v>
      </c>
      <c r="V7" s="57"/>
      <c r="AH7" s="211"/>
      <c r="AI7" s="211"/>
      <c r="AJ7" s="251"/>
      <c r="AK7" s="252"/>
      <c r="AL7" s="211"/>
      <c r="AM7" s="211"/>
      <c r="AN7" s="211"/>
      <c r="AO7" s="253"/>
      <c r="AP7" s="211"/>
      <c r="AQ7" s="211"/>
      <c r="AR7" s="254"/>
      <c r="AS7" s="211"/>
      <c r="AT7" s="211"/>
      <c r="AU7" s="180"/>
    </row>
    <row r="8" spans="1:47" ht="16.5" thickBot="1" x14ac:dyDescent="0.3">
      <c r="A8" s="2" t="s">
        <v>112</v>
      </c>
      <c r="B8" s="52" t="s">
        <v>113</v>
      </c>
      <c r="G8" s="57"/>
      <c r="V8" s="57"/>
      <c r="AH8" s="211"/>
      <c r="AI8" s="211"/>
      <c r="AJ8" s="251"/>
      <c r="AK8" s="252"/>
      <c r="AL8" s="211"/>
      <c r="AM8" s="211"/>
      <c r="AN8" s="211"/>
      <c r="AO8" s="253"/>
      <c r="AP8" s="211"/>
      <c r="AQ8" s="211"/>
      <c r="AR8" s="254"/>
      <c r="AS8" s="211"/>
      <c r="AT8" s="211"/>
      <c r="AU8" s="180"/>
    </row>
    <row r="9" spans="1:47" ht="48" thickBot="1" x14ac:dyDescent="0.3">
      <c r="A9" s="2"/>
      <c r="B9" s="52"/>
      <c r="D9" s="280" t="s">
        <v>268</v>
      </c>
      <c r="E9" s="280"/>
      <c r="F9" s="280"/>
      <c r="G9" s="57"/>
      <c r="H9" s="279" t="s">
        <v>269</v>
      </c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 t="s">
        <v>269</v>
      </c>
      <c r="U9" s="279"/>
      <c r="V9" s="57"/>
      <c r="W9" s="282" t="s">
        <v>270</v>
      </c>
      <c r="X9" s="282"/>
      <c r="Y9" s="282"/>
      <c r="Z9" s="282"/>
      <c r="AA9" s="57"/>
      <c r="AH9" s="229"/>
      <c r="AI9" s="245" t="s">
        <v>277</v>
      </c>
      <c r="AJ9" s="231" t="s">
        <v>219</v>
      </c>
      <c r="AK9" s="232" t="s">
        <v>225</v>
      </c>
      <c r="AL9" s="222" t="s">
        <v>218</v>
      </c>
      <c r="AM9" s="222" t="s">
        <v>220</v>
      </c>
      <c r="AN9" s="222" t="s">
        <v>221</v>
      </c>
      <c r="AO9" s="233" t="s">
        <v>226</v>
      </c>
      <c r="AP9" s="223" t="s">
        <v>227</v>
      </c>
      <c r="AQ9" s="223" t="s">
        <v>210</v>
      </c>
      <c r="AR9" s="234" t="s">
        <v>222</v>
      </c>
      <c r="AS9" s="224" t="s">
        <v>228</v>
      </c>
      <c r="AT9" s="225" t="s">
        <v>223</v>
      </c>
      <c r="AU9" s="180"/>
    </row>
    <row r="10" spans="1:47" ht="15.75" x14ac:dyDescent="0.25">
      <c r="A10" s="2"/>
      <c r="B10" s="1"/>
      <c r="G10" s="57"/>
      <c r="J10" s="53" t="s">
        <v>121</v>
      </c>
      <c r="L10" s="53" t="s">
        <v>122</v>
      </c>
      <c r="N10" s="53" t="s">
        <v>166</v>
      </c>
      <c r="P10" s="53" t="s">
        <v>123</v>
      </c>
      <c r="R10" s="53" t="s">
        <v>168</v>
      </c>
      <c r="V10" s="57"/>
      <c r="AA10" s="57"/>
      <c r="AH10" s="245"/>
      <c r="AI10" s="245"/>
      <c r="AJ10" s="246"/>
      <c r="AK10" s="247"/>
      <c r="AL10" s="247"/>
      <c r="AM10" s="247"/>
      <c r="AN10" s="247"/>
      <c r="AO10" s="248"/>
      <c r="AP10" s="248"/>
      <c r="AQ10" s="248"/>
      <c r="AR10" s="249"/>
      <c r="AS10" s="249"/>
      <c r="AT10" s="250"/>
      <c r="AU10" s="180"/>
    </row>
    <row r="11" spans="1:47" ht="16.5" thickBot="1" x14ac:dyDescent="0.3">
      <c r="G11" s="57"/>
      <c r="H11" s="281" t="s">
        <v>85</v>
      </c>
      <c r="I11" s="281" t="s">
        <v>85</v>
      </c>
      <c r="J11" s="281" t="s">
        <v>85</v>
      </c>
      <c r="K11" s="281" t="s">
        <v>85</v>
      </c>
      <c r="L11" s="281" t="s">
        <v>85</v>
      </c>
      <c r="M11" s="281" t="s">
        <v>85</v>
      </c>
      <c r="N11" s="281" t="s">
        <v>85</v>
      </c>
      <c r="O11" s="281" t="s">
        <v>85</v>
      </c>
      <c r="P11" s="281" t="s">
        <v>85</v>
      </c>
      <c r="Q11" s="281" t="s">
        <v>85</v>
      </c>
      <c r="R11" s="281" t="s">
        <v>85</v>
      </c>
      <c r="S11" s="281" t="s">
        <v>85</v>
      </c>
      <c r="T11" s="283" t="s">
        <v>98</v>
      </c>
      <c r="U11" s="281"/>
      <c r="V11" s="57"/>
      <c r="W11" s="61"/>
      <c r="X11" s="61"/>
      <c r="AA11" s="57"/>
      <c r="AB11" s="302" t="str">
        <f>A8</f>
        <v>Activity 1</v>
      </c>
      <c r="AH11" s="230" t="s">
        <v>63</v>
      </c>
      <c r="AI11" s="274"/>
      <c r="AJ11" s="226">
        <f>AM11/2080</f>
        <v>41.379221153846153</v>
      </c>
      <c r="AK11" s="218">
        <f>AJ11*AL11</f>
        <v>14.896519615384614</v>
      </c>
      <c r="AL11" s="219">
        <v>0.36</v>
      </c>
      <c r="AM11" s="218">
        <v>86068.78</v>
      </c>
      <c r="AN11" s="218">
        <f>AM11*AL11</f>
        <v>30984.7608</v>
      </c>
      <c r="AO11" s="220">
        <f>AP11/2080</f>
        <v>42.620597788461538</v>
      </c>
      <c r="AP11" s="220">
        <f>AM11*3%+86068.78</f>
        <v>88650.843399999998</v>
      </c>
      <c r="AQ11" s="220">
        <f>AP11*AL11</f>
        <v>31914.303623999996</v>
      </c>
      <c r="AR11" s="221">
        <f>AS11/2080</f>
        <v>43.899214087499999</v>
      </c>
      <c r="AS11" s="221">
        <f>AP11*3%+88650.84</f>
        <v>91310.365301999991</v>
      </c>
      <c r="AT11" s="221">
        <f>AS11*AL11</f>
        <v>32871.731508719997</v>
      </c>
      <c r="AU11" s="180"/>
    </row>
    <row r="12" spans="1:47" ht="16.5" thickBot="1" x14ac:dyDescent="0.3">
      <c r="D12" s="2" t="s">
        <v>282</v>
      </c>
      <c r="E12" s="329" t="s">
        <v>68</v>
      </c>
      <c r="F12" s="330"/>
      <c r="G12" s="278"/>
      <c r="H12" s="240"/>
      <c r="I12" s="241"/>
      <c r="J12" s="329" t="s">
        <v>69</v>
      </c>
      <c r="K12" s="330"/>
      <c r="L12" s="329" t="s">
        <v>70</v>
      </c>
      <c r="M12" s="331"/>
      <c r="N12" s="329" t="s">
        <v>71</v>
      </c>
      <c r="O12" s="330"/>
      <c r="P12" s="331" t="s">
        <v>73</v>
      </c>
      <c r="Q12" s="331"/>
      <c r="R12" s="329" t="s">
        <v>165</v>
      </c>
      <c r="S12" s="330"/>
      <c r="T12" s="331" t="s">
        <v>85</v>
      </c>
      <c r="U12" s="331"/>
      <c r="V12" s="295"/>
      <c r="W12" s="241" t="s">
        <v>72</v>
      </c>
      <c r="X12" s="241"/>
      <c r="Y12" s="329" t="s">
        <v>72</v>
      </c>
      <c r="Z12" s="330"/>
      <c r="AA12" s="295"/>
      <c r="AB12" s="331" t="s">
        <v>11</v>
      </c>
      <c r="AC12" s="330"/>
      <c r="AH12" s="230" t="s">
        <v>64</v>
      </c>
      <c r="AI12" s="275"/>
      <c r="AJ12" s="226">
        <v>21.01</v>
      </c>
      <c r="AK12" s="214">
        <v>6.1979500000000005</v>
      </c>
      <c r="AL12" s="215">
        <v>0.29499999999999998</v>
      </c>
      <c r="AM12" s="218">
        <v>43700.800000000003</v>
      </c>
      <c r="AN12" s="218">
        <v>12891.736000000001</v>
      </c>
      <c r="AO12" s="220">
        <v>21.6403</v>
      </c>
      <c r="AP12" s="220">
        <v>45011.824000000001</v>
      </c>
      <c r="AQ12" s="220">
        <v>13278.488079999999</v>
      </c>
      <c r="AR12" s="221">
        <v>22.289508999999999</v>
      </c>
      <c r="AS12" s="221">
        <v>46362.178719999996</v>
      </c>
      <c r="AT12" s="221">
        <v>13676.842722399999</v>
      </c>
      <c r="AU12" s="180"/>
    </row>
    <row r="13" spans="1:47" ht="16.5" thickBot="1" x14ac:dyDescent="0.3">
      <c r="A13" s="2" t="s">
        <v>2</v>
      </c>
      <c r="D13" s="18" t="s">
        <v>281</v>
      </c>
      <c r="E13" s="19" t="s">
        <v>6</v>
      </c>
      <c r="F13" s="20" t="s">
        <v>7</v>
      </c>
      <c r="G13" s="278"/>
      <c r="H13" s="19" t="s">
        <v>280</v>
      </c>
      <c r="I13" s="110" t="s">
        <v>281</v>
      </c>
      <c r="J13" s="19" t="s">
        <v>6</v>
      </c>
      <c r="K13" s="20" t="s">
        <v>7</v>
      </c>
      <c r="L13" s="19" t="s">
        <v>6</v>
      </c>
      <c r="M13" s="110" t="s">
        <v>7</v>
      </c>
      <c r="N13" s="19" t="s">
        <v>6</v>
      </c>
      <c r="O13" s="20" t="s">
        <v>7</v>
      </c>
      <c r="P13" s="110" t="s">
        <v>6</v>
      </c>
      <c r="Q13" s="110" t="s">
        <v>7</v>
      </c>
      <c r="R13" s="19" t="s">
        <v>6</v>
      </c>
      <c r="S13" s="20" t="s">
        <v>7</v>
      </c>
      <c r="T13" s="110" t="s">
        <v>6</v>
      </c>
      <c r="U13" s="110" t="s">
        <v>7</v>
      </c>
      <c r="V13" s="295"/>
      <c r="W13" s="110" t="s">
        <v>280</v>
      </c>
      <c r="X13" s="110" t="s">
        <v>281</v>
      </c>
      <c r="Y13" s="19" t="s">
        <v>6</v>
      </c>
      <c r="Z13" s="20" t="s">
        <v>7</v>
      </c>
      <c r="AA13" s="295"/>
      <c r="AB13" s="126" t="s">
        <v>6</v>
      </c>
      <c r="AC13" s="22" t="s">
        <v>7</v>
      </c>
      <c r="AF13" s="278"/>
      <c r="AH13" s="230" t="s">
        <v>181</v>
      </c>
      <c r="AI13" s="275"/>
      <c r="AJ13" s="228">
        <v>21.331300000000002</v>
      </c>
      <c r="AK13" s="214">
        <v>6.2927335000000006</v>
      </c>
      <c r="AL13" s="215">
        <v>0.29499999999999998</v>
      </c>
      <c r="AM13" s="213">
        <v>38822.966000000008</v>
      </c>
      <c r="AN13" s="213">
        <v>11452.774970000002</v>
      </c>
      <c r="AO13" s="220">
        <v>21.971239000000004</v>
      </c>
      <c r="AP13" s="220">
        <v>39987.654980000007</v>
      </c>
      <c r="AQ13" s="220">
        <v>11796.3582191</v>
      </c>
      <c r="AR13" s="221">
        <v>22.630376170000005</v>
      </c>
      <c r="AS13" s="221">
        <v>41187.284629400012</v>
      </c>
      <c r="AT13" s="221">
        <v>12150.248965673003</v>
      </c>
      <c r="AU13" s="180"/>
    </row>
    <row r="14" spans="1:47" ht="16.5" thickTop="1" x14ac:dyDescent="0.25">
      <c r="B14" t="s">
        <v>1</v>
      </c>
      <c r="C14" t="s">
        <v>19</v>
      </c>
      <c r="D14" s="3">
        <f>SAFLrates!Q17</f>
        <v>55.893799999999999</v>
      </c>
      <c r="E14" s="8">
        <v>20</v>
      </c>
      <c r="F14" s="9">
        <f>$D14*E14</f>
        <v>1117.876</v>
      </c>
      <c r="G14" s="122"/>
      <c r="H14" s="285" t="str">
        <f>$B14</f>
        <v>Jeff Marr</v>
      </c>
      <c r="I14" s="3">
        <f>SAFLrates!X17</f>
        <v>57.570613999999999</v>
      </c>
      <c r="J14" s="8">
        <v>20</v>
      </c>
      <c r="K14" s="9">
        <f>$I14*J14</f>
        <v>1151.41228</v>
      </c>
      <c r="L14" s="8">
        <v>0</v>
      </c>
      <c r="M14" s="9">
        <f>$I14*L14</f>
        <v>0</v>
      </c>
      <c r="N14" s="8">
        <v>20</v>
      </c>
      <c r="O14" s="9">
        <f>$I14*N14</f>
        <v>1151.41228</v>
      </c>
      <c r="P14" s="111">
        <v>30</v>
      </c>
      <c r="Q14" s="9">
        <f>$I14*P14</f>
        <v>1727.11842</v>
      </c>
      <c r="R14" s="8">
        <v>20</v>
      </c>
      <c r="S14" s="9">
        <f>$I14*R14</f>
        <v>1151.41228</v>
      </c>
      <c r="T14" s="111">
        <f t="shared" ref="T14:T21" si="0">SUM(J14,L14,N14,P14,R14)</f>
        <v>90</v>
      </c>
      <c r="U14" s="46">
        <f>$I14*T14</f>
        <v>5181.3552600000003</v>
      </c>
      <c r="V14" s="296"/>
      <c r="W14" s="46" t="str">
        <f>$B14</f>
        <v>Jeff Marr</v>
      </c>
      <c r="X14" s="3">
        <f>SAFLrates!AA17</f>
        <v>59.297732419999996</v>
      </c>
      <c r="Y14" s="8">
        <v>10</v>
      </c>
      <c r="Z14" s="9">
        <f>$X14*Y14</f>
        <v>592.9773242</v>
      </c>
      <c r="AA14" s="296"/>
      <c r="AB14" s="49">
        <f t="shared" ref="AB14:AC21" si="1">E14+J14+L14+N14+P14+R14+Y14</f>
        <v>120</v>
      </c>
      <c r="AC14" s="15">
        <f t="shared" si="1"/>
        <v>6892.2085842000006</v>
      </c>
      <c r="AI14" s="3"/>
      <c r="AJ14" s="3"/>
      <c r="AK14" s="45"/>
      <c r="AL14" s="276"/>
      <c r="AM14" s="277"/>
      <c r="AN14" s="277"/>
      <c r="AO14" s="277"/>
      <c r="AP14" s="277"/>
      <c r="AQ14" s="277"/>
      <c r="AR14" s="277"/>
      <c r="AS14" s="277"/>
      <c r="AT14" s="277"/>
      <c r="AU14" s="180"/>
    </row>
    <row r="15" spans="1:47" ht="15.75" x14ac:dyDescent="0.25">
      <c r="B15" t="s">
        <v>61</v>
      </c>
      <c r="C15" t="s">
        <v>19</v>
      </c>
      <c r="D15" s="7">
        <f>SAFLrates!Q13</f>
        <v>30.506800000000002</v>
      </c>
      <c r="E15" s="8">
        <v>100</v>
      </c>
      <c r="F15" s="9">
        <f t="shared" ref="F15:F18" si="2">$D15*E15</f>
        <v>3050.6800000000003</v>
      </c>
      <c r="G15" s="122"/>
      <c r="H15" s="285" t="str">
        <f t="shared" ref="H15:H21" si="3">$B15</f>
        <v>Matt Hernick</v>
      </c>
      <c r="I15" s="3">
        <f>SAFLrates!X13</f>
        <v>31.422004000000001</v>
      </c>
      <c r="J15" s="8">
        <v>240</v>
      </c>
      <c r="K15" s="9">
        <f t="shared" ref="K15:M21" si="4">$I15*J15</f>
        <v>7541.2809600000001</v>
      </c>
      <c r="L15" s="8">
        <v>60</v>
      </c>
      <c r="M15" s="9">
        <f t="shared" si="4"/>
        <v>1885.32024</v>
      </c>
      <c r="N15" s="8">
        <f>2*10*2*3</f>
        <v>120</v>
      </c>
      <c r="O15" s="9">
        <f t="shared" ref="O15" si="5">$I15*N15</f>
        <v>3770.64048</v>
      </c>
      <c r="P15" s="111">
        <v>120</v>
      </c>
      <c r="Q15" s="9">
        <f t="shared" ref="Q15" si="6">$I15*P15</f>
        <v>3770.64048</v>
      </c>
      <c r="R15" s="8">
        <f>2*10*2*3+20</f>
        <v>140</v>
      </c>
      <c r="S15" s="9">
        <f t="shared" ref="S15" si="7">$I15*R15</f>
        <v>4399.0805600000003</v>
      </c>
      <c r="T15" s="111">
        <f t="shared" si="0"/>
        <v>680</v>
      </c>
      <c r="U15" s="46">
        <f t="shared" ref="U15" si="8">$I15*T15</f>
        <v>21366.96272</v>
      </c>
      <c r="V15" s="296"/>
      <c r="W15" s="46" t="str">
        <f t="shared" ref="W15:W21" si="9">$B15</f>
        <v>Matt Hernick</v>
      </c>
      <c r="X15" s="3">
        <f>SAFLrates!AA13</f>
        <v>32.36466412</v>
      </c>
      <c r="Y15" s="8">
        <v>30</v>
      </c>
      <c r="Z15" s="9">
        <f t="shared" ref="Z15:Z21" si="10">$X15*Y15</f>
        <v>970.93992360000004</v>
      </c>
      <c r="AA15" s="296"/>
      <c r="AB15" s="49">
        <f t="shared" si="1"/>
        <v>810</v>
      </c>
      <c r="AC15" s="15">
        <f t="shared" si="1"/>
        <v>25388.582643600002</v>
      </c>
      <c r="AI15" s="7"/>
      <c r="AJ15" s="3"/>
      <c r="AK15" s="45"/>
      <c r="AL15" s="276"/>
      <c r="AM15" s="277"/>
      <c r="AN15" s="277"/>
      <c r="AO15" s="277"/>
      <c r="AP15" s="277"/>
      <c r="AQ15" s="277"/>
      <c r="AR15" s="277"/>
      <c r="AS15" s="277"/>
      <c r="AT15" s="277"/>
    </row>
    <row r="16" spans="1:47" ht="15.75" x14ac:dyDescent="0.25">
      <c r="B16" t="s">
        <v>3</v>
      </c>
      <c r="C16" t="s">
        <v>18</v>
      </c>
      <c r="D16" s="3">
        <f>SAFLrates!Q14</f>
        <v>22.8642</v>
      </c>
      <c r="E16" s="8">
        <v>60</v>
      </c>
      <c r="F16" s="9">
        <f t="shared" si="2"/>
        <v>1371.8520000000001</v>
      </c>
      <c r="G16" s="122"/>
      <c r="H16" s="285" t="str">
        <f t="shared" si="3"/>
        <v>Aaron Ketchmark</v>
      </c>
      <c r="I16" s="3">
        <f>SAFLrates!X14</f>
        <v>23.550125999999999</v>
      </c>
      <c r="J16" s="8">
        <v>280</v>
      </c>
      <c r="K16" s="9">
        <f t="shared" si="4"/>
        <v>6594.0352800000001</v>
      </c>
      <c r="L16" s="8">
        <v>120</v>
      </c>
      <c r="M16" s="9">
        <f t="shared" si="4"/>
        <v>2826.01512</v>
      </c>
      <c r="N16" s="8">
        <f>3*10*2*5</f>
        <v>300</v>
      </c>
      <c r="O16" s="9">
        <f t="shared" ref="O16" si="11">$I16*N16</f>
        <v>7065.0378000000001</v>
      </c>
      <c r="P16" s="111">
        <v>60</v>
      </c>
      <c r="Q16" s="9">
        <f t="shared" ref="Q16" si="12">$I16*P16</f>
        <v>1413.00756</v>
      </c>
      <c r="R16" s="8">
        <f>3*10*2*5+20</f>
        <v>320</v>
      </c>
      <c r="S16" s="9">
        <f t="shared" ref="S16" si="13">$I16*R16</f>
        <v>7536.0403200000001</v>
      </c>
      <c r="T16" s="111">
        <f t="shared" si="0"/>
        <v>1080</v>
      </c>
      <c r="U16" s="46">
        <f t="shared" ref="U16" si="14">$I16*T16</f>
        <v>25434.13608</v>
      </c>
      <c r="V16" s="296"/>
      <c r="W16" s="46" t="str">
        <f t="shared" si="9"/>
        <v>Aaron Ketchmark</v>
      </c>
      <c r="X16" s="3">
        <f>SAFLrates!AA14</f>
        <v>24.256629779999997</v>
      </c>
      <c r="Y16" s="8">
        <v>0</v>
      </c>
      <c r="Z16" s="9">
        <f t="shared" si="10"/>
        <v>0</v>
      </c>
      <c r="AA16" s="296"/>
      <c r="AB16" s="49">
        <f t="shared" si="1"/>
        <v>1140</v>
      </c>
      <c r="AC16" s="15">
        <f t="shared" si="1"/>
        <v>26805.988079999996</v>
      </c>
      <c r="AE16" s="49"/>
      <c r="AF16" s="49"/>
      <c r="AG16" s="49"/>
      <c r="AH16" s="49"/>
      <c r="AI16" s="47"/>
      <c r="AJ16" s="47"/>
      <c r="AK16" s="45"/>
      <c r="AL16" s="276"/>
      <c r="AM16" s="277"/>
      <c r="AN16" s="277"/>
      <c r="AO16" s="277"/>
      <c r="AP16" s="277"/>
      <c r="AQ16" s="277"/>
      <c r="AR16" s="277"/>
      <c r="AS16" s="277"/>
      <c r="AT16" s="277"/>
    </row>
    <row r="17" spans="1:46" ht="15.75" x14ac:dyDescent="0.25">
      <c r="B17" t="s">
        <v>56</v>
      </c>
      <c r="C17" t="s">
        <v>18</v>
      </c>
      <c r="D17" s="3">
        <f>SAFLrates!Q23</f>
        <v>33.453600000000002</v>
      </c>
      <c r="E17" s="8">
        <v>0</v>
      </c>
      <c r="F17" s="9">
        <f t="shared" si="2"/>
        <v>0</v>
      </c>
      <c r="G17" s="122"/>
      <c r="H17" s="285" t="str">
        <f t="shared" si="3"/>
        <v>Jim Tucker</v>
      </c>
      <c r="I17" s="3">
        <f>SAFLrates!X23</f>
        <v>34.457208000000001</v>
      </c>
      <c r="J17" s="8">
        <v>120</v>
      </c>
      <c r="K17" s="9">
        <f t="shared" si="4"/>
        <v>4134.8649599999999</v>
      </c>
      <c r="L17" s="8">
        <v>40</v>
      </c>
      <c r="M17" s="9">
        <f t="shared" si="4"/>
        <v>1378.2883200000001</v>
      </c>
      <c r="N17" s="8">
        <v>80</v>
      </c>
      <c r="O17" s="9">
        <f t="shared" ref="O17" si="15">$I17*N17</f>
        <v>2756.5766400000002</v>
      </c>
      <c r="P17" s="111">
        <v>0</v>
      </c>
      <c r="Q17" s="9">
        <f t="shared" ref="Q17" si="16">$I17*P17</f>
        <v>0</v>
      </c>
      <c r="R17" s="8">
        <v>80</v>
      </c>
      <c r="S17" s="9">
        <f t="shared" ref="S17" si="17">$I17*R17</f>
        <v>2756.5766400000002</v>
      </c>
      <c r="T17" s="111">
        <f t="shared" si="0"/>
        <v>320</v>
      </c>
      <c r="U17" s="46">
        <f t="shared" ref="U17" si="18">$I17*T17</f>
        <v>11026.306560000001</v>
      </c>
      <c r="V17" s="296"/>
      <c r="W17" s="46" t="str">
        <f t="shared" si="9"/>
        <v>Jim Tucker</v>
      </c>
      <c r="X17" s="3">
        <f>SAFLrates!AA23</f>
        <v>35.490924239999998</v>
      </c>
      <c r="Y17" s="8">
        <v>0</v>
      </c>
      <c r="Z17" s="9">
        <f t="shared" si="10"/>
        <v>0</v>
      </c>
      <c r="AA17" s="296"/>
      <c r="AB17" s="49">
        <f t="shared" si="1"/>
        <v>320</v>
      </c>
      <c r="AC17" s="15">
        <f t="shared" si="1"/>
        <v>11026.306560000001</v>
      </c>
      <c r="AE17" s="49"/>
      <c r="AF17" s="49"/>
      <c r="AG17" s="49"/>
      <c r="AH17" s="49"/>
      <c r="AI17" s="47"/>
      <c r="AJ17" s="47"/>
      <c r="AK17" s="45"/>
      <c r="AL17" s="276"/>
      <c r="AM17" s="277"/>
      <c r="AN17" s="277"/>
      <c r="AO17" s="277"/>
      <c r="AP17" s="277"/>
      <c r="AQ17" s="277"/>
      <c r="AR17" s="277"/>
      <c r="AS17" s="277"/>
      <c r="AT17" s="277"/>
    </row>
    <row r="18" spans="1:46" ht="15.75" x14ac:dyDescent="0.25">
      <c r="B18" s="267" t="s">
        <v>62</v>
      </c>
      <c r="C18" s="267" t="s">
        <v>9</v>
      </c>
      <c r="D18" s="268">
        <f>SAFLrates!Q22</f>
        <v>11.66</v>
      </c>
      <c r="E18" s="269">
        <v>20</v>
      </c>
      <c r="F18" s="270">
        <f t="shared" si="2"/>
        <v>233.2</v>
      </c>
      <c r="G18" s="122"/>
      <c r="H18" s="286" t="str">
        <f t="shared" si="3"/>
        <v>SAFL Undergrad</v>
      </c>
      <c r="I18" s="268">
        <f>SAFLrates!X22</f>
        <v>12.0098</v>
      </c>
      <c r="J18" s="269">
        <v>80</v>
      </c>
      <c r="K18" s="270">
        <f t="shared" si="4"/>
        <v>960.78399999999999</v>
      </c>
      <c r="L18" s="269">
        <v>40</v>
      </c>
      <c r="M18" s="270">
        <f t="shared" si="4"/>
        <v>480.392</v>
      </c>
      <c r="N18" s="269">
        <f>2*10*2*5</f>
        <v>200</v>
      </c>
      <c r="O18" s="270">
        <f t="shared" ref="O18" si="19">$I18*N18</f>
        <v>2401.96</v>
      </c>
      <c r="P18" s="272">
        <v>60</v>
      </c>
      <c r="Q18" s="270">
        <f t="shared" ref="Q18" si="20">$I18*P18</f>
        <v>720.58799999999997</v>
      </c>
      <c r="R18" s="269">
        <f>2*10*2*5+40</f>
        <v>240</v>
      </c>
      <c r="S18" s="270">
        <f t="shared" ref="S18" si="21">$I18*R18</f>
        <v>2882.3519999999999</v>
      </c>
      <c r="T18" s="272">
        <f t="shared" si="0"/>
        <v>620</v>
      </c>
      <c r="U18" s="270">
        <f t="shared" ref="U18" si="22">$I18*T18</f>
        <v>7446.076</v>
      </c>
      <c r="V18" s="296"/>
      <c r="W18" s="286" t="str">
        <f t="shared" si="9"/>
        <v>SAFL Undergrad</v>
      </c>
      <c r="X18" s="268">
        <f>SAFLrates!AA22</f>
        <v>12.370094</v>
      </c>
      <c r="Y18" s="269">
        <v>10</v>
      </c>
      <c r="Z18" s="270">
        <f t="shared" si="10"/>
        <v>123.70094</v>
      </c>
      <c r="AA18" s="296"/>
      <c r="AB18" s="267">
        <f t="shared" si="1"/>
        <v>650</v>
      </c>
      <c r="AC18" s="273">
        <f t="shared" si="1"/>
        <v>7802.9769399999996</v>
      </c>
      <c r="AE18" s="49"/>
      <c r="AF18" s="49"/>
      <c r="AG18" s="49"/>
      <c r="AH18" s="49"/>
      <c r="AI18" s="47"/>
      <c r="AJ18" s="47"/>
      <c r="AK18" s="45"/>
      <c r="AL18" s="276"/>
      <c r="AM18" s="277"/>
      <c r="AN18" s="277"/>
      <c r="AO18" s="277"/>
      <c r="AP18" s="277"/>
      <c r="AQ18" s="277"/>
      <c r="AR18" s="277"/>
      <c r="AS18" s="277"/>
      <c r="AT18" s="277"/>
    </row>
    <row r="19" spans="1:46" x14ac:dyDescent="0.25">
      <c r="B19" t="s">
        <v>63</v>
      </c>
      <c r="C19" t="s">
        <v>182</v>
      </c>
      <c r="D19" s="3">
        <f>AJ11</f>
        <v>41.379221153846153</v>
      </c>
      <c r="E19" s="109">
        <v>100</v>
      </c>
      <c r="F19" s="9">
        <f>$D19*E19</f>
        <v>4137.9221153846156</v>
      </c>
      <c r="G19" s="122"/>
      <c r="H19" s="285" t="str">
        <f t="shared" si="3"/>
        <v>Sara Heger</v>
      </c>
      <c r="I19" s="3">
        <f>AO11</f>
        <v>42.620597788461538</v>
      </c>
      <c r="J19" s="109">
        <v>0</v>
      </c>
      <c r="K19" s="9">
        <f t="shared" si="4"/>
        <v>0</v>
      </c>
      <c r="L19" s="109">
        <v>0</v>
      </c>
      <c r="M19" s="9">
        <f t="shared" si="4"/>
        <v>0</v>
      </c>
      <c r="N19" s="109">
        <v>0</v>
      </c>
      <c r="O19" s="9">
        <f t="shared" ref="O19" si="23">$I19*N19</f>
        <v>0</v>
      </c>
      <c r="P19" s="123">
        <v>5</v>
      </c>
      <c r="Q19" s="9">
        <f t="shared" ref="Q19" si="24">$I19*P19</f>
        <v>213.10298894230769</v>
      </c>
      <c r="R19" s="109">
        <v>20</v>
      </c>
      <c r="S19" s="9">
        <f t="shared" ref="S19" si="25">$I19*R19</f>
        <v>852.41195576923076</v>
      </c>
      <c r="T19" s="111">
        <f t="shared" si="0"/>
        <v>25</v>
      </c>
      <c r="U19" s="46">
        <f t="shared" ref="U19" si="26">$I19*T19</f>
        <v>1065.5149447115384</v>
      </c>
      <c r="V19" s="296"/>
      <c r="W19" s="46" t="str">
        <f t="shared" si="9"/>
        <v>Sara Heger</v>
      </c>
      <c r="X19" s="3">
        <f>AR11</f>
        <v>43.899214087499999</v>
      </c>
      <c r="Y19" s="109">
        <v>20</v>
      </c>
      <c r="Z19" s="9">
        <f t="shared" si="10"/>
        <v>877.98428175000004</v>
      </c>
      <c r="AA19" s="296"/>
      <c r="AB19" s="49">
        <f t="shared" si="1"/>
        <v>145</v>
      </c>
      <c r="AC19" s="15">
        <f t="shared" si="1"/>
        <v>6081.421341846155</v>
      </c>
      <c r="AE19" s="49"/>
      <c r="AF19" s="49"/>
      <c r="AG19" s="49"/>
      <c r="AH19" s="49"/>
      <c r="AI19" s="49"/>
      <c r="AJ19" s="49"/>
    </row>
    <row r="20" spans="1:46" x14ac:dyDescent="0.25">
      <c r="B20" t="s">
        <v>64</v>
      </c>
      <c r="C20" t="s">
        <v>18</v>
      </c>
      <c r="D20" s="7">
        <f>AJ12</f>
        <v>21.01</v>
      </c>
      <c r="E20" s="109">
        <v>80</v>
      </c>
      <c r="F20" s="9">
        <f>$D20*E20</f>
        <v>1680.8000000000002</v>
      </c>
      <c r="G20" s="122"/>
      <c r="H20" s="285" t="str">
        <f t="shared" si="3"/>
        <v>WRC Staff</v>
      </c>
      <c r="I20" s="3">
        <f t="shared" ref="I20:I21" si="27">AO12</f>
        <v>21.6403</v>
      </c>
      <c r="J20" s="109">
        <v>0</v>
      </c>
      <c r="K20" s="9">
        <f t="shared" si="4"/>
        <v>0</v>
      </c>
      <c r="L20" s="109">
        <v>0</v>
      </c>
      <c r="M20" s="9">
        <f t="shared" si="4"/>
        <v>0</v>
      </c>
      <c r="N20" s="109">
        <v>0</v>
      </c>
      <c r="O20" s="9">
        <f t="shared" ref="O20" si="28">$I20*N20</f>
        <v>0</v>
      </c>
      <c r="P20" s="123">
        <v>5</v>
      </c>
      <c r="Q20" s="9">
        <f t="shared" ref="Q20" si="29">$I20*P20</f>
        <v>108.2015</v>
      </c>
      <c r="R20" s="109">
        <v>5</v>
      </c>
      <c r="S20" s="9">
        <f t="shared" ref="S20" si="30">$I20*R20</f>
        <v>108.2015</v>
      </c>
      <c r="T20" s="111">
        <f t="shared" si="0"/>
        <v>10</v>
      </c>
      <c r="U20" s="46">
        <f t="shared" ref="U20" si="31">$I20*T20</f>
        <v>216.40299999999999</v>
      </c>
      <c r="V20" s="296"/>
      <c r="W20" s="46" t="str">
        <f t="shared" si="9"/>
        <v>WRC Staff</v>
      </c>
      <c r="X20" s="3">
        <f t="shared" ref="X20:X21" si="32">AR12</f>
        <v>22.289508999999999</v>
      </c>
      <c r="Y20" s="109">
        <v>20</v>
      </c>
      <c r="Z20" s="9">
        <f t="shared" si="10"/>
        <v>445.79017999999996</v>
      </c>
      <c r="AA20" s="296"/>
      <c r="AB20" s="49">
        <f t="shared" si="1"/>
        <v>110</v>
      </c>
      <c r="AC20" s="15">
        <f t="shared" si="1"/>
        <v>2342.9931799999999</v>
      </c>
      <c r="AE20" s="49"/>
      <c r="AF20" s="49"/>
      <c r="AG20" s="49"/>
      <c r="AH20" s="49"/>
      <c r="AI20" s="49"/>
      <c r="AJ20" s="49"/>
    </row>
    <row r="21" spans="1:46" x14ac:dyDescent="0.25">
      <c r="B21" t="s">
        <v>181</v>
      </c>
      <c r="C21" t="s">
        <v>183</v>
      </c>
      <c r="D21" s="3">
        <f>AJ13</f>
        <v>21.331300000000002</v>
      </c>
      <c r="E21" s="8">
        <v>0</v>
      </c>
      <c r="F21" s="9">
        <f t="shared" ref="F21" si="33">$D21*E21</f>
        <v>0</v>
      </c>
      <c r="G21" s="122"/>
      <c r="H21" s="285" t="str">
        <f t="shared" si="3"/>
        <v>WRC Editor</v>
      </c>
      <c r="I21" s="3">
        <f t="shared" si="27"/>
        <v>21.971239000000004</v>
      </c>
      <c r="J21" s="8">
        <v>0</v>
      </c>
      <c r="K21" s="9">
        <f t="shared" si="4"/>
        <v>0</v>
      </c>
      <c r="L21" s="8">
        <v>0</v>
      </c>
      <c r="M21" s="9">
        <f t="shared" si="4"/>
        <v>0</v>
      </c>
      <c r="N21" s="8">
        <v>0</v>
      </c>
      <c r="O21" s="9">
        <f t="shared" ref="O21" si="34">$I21*N21</f>
        <v>0</v>
      </c>
      <c r="P21" s="123">
        <v>0</v>
      </c>
      <c r="Q21" s="9">
        <f t="shared" ref="Q21" si="35">$I21*P21</f>
        <v>0</v>
      </c>
      <c r="R21" s="8">
        <v>0</v>
      </c>
      <c r="S21" s="9">
        <f t="shared" ref="S21" si="36">$I21*R21</f>
        <v>0</v>
      </c>
      <c r="T21" s="46">
        <f t="shared" si="0"/>
        <v>0</v>
      </c>
      <c r="U21" s="46">
        <f t="shared" ref="U21" si="37">$I21*T21</f>
        <v>0</v>
      </c>
      <c r="V21" s="296"/>
      <c r="W21" s="46" t="str">
        <f t="shared" si="9"/>
        <v>WRC Editor</v>
      </c>
      <c r="X21" s="3">
        <f t="shared" si="32"/>
        <v>22.630376170000005</v>
      </c>
      <c r="Y21" s="8">
        <v>10</v>
      </c>
      <c r="Z21" s="9">
        <f t="shared" si="10"/>
        <v>226.30376170000005</v>
      </c>
      <c r="AA21" s="296"/>
      <c r="AB21" s="49">
        <f t="shared" si="1"/>
        <v>10</v>
      </c>
      <c r="AC21" s="15">
        <f t="shared" si="1"/>
        <v>226.30376170000005</v>
      </c>
    </row>
    <row r="22" spans="1:46" x14ac:dyDescent="0.25">
      <c r="D22" s="3"/>
      <c r="E22" s="8"/>
      <c r="F22" s="9"/>
      <c r="G22" s="122"/>
      <c r="H22" s="285"/>
      <c r="I22" s="46"/>
      <c r="J22" s="8"/>
      <c r="K22" s="9"/>
      <c r="L22" s="8"/>
      <c r="M22" s="46"/>
      <c r="N22" s="8"/>
      <c r="O22" s="9"/>
      <c r="P22" s="111"/>
      <c r="Q22" s="46"/>
      <c r="R22" s="8"/>
      <c r="S22" s="9"/>
      <c r="T22" s="46"/>
      <c r="U22" s="46"/>
      <c r="V22" s="296"/>
      <c r="W22" s="46"/>
      <c r="X22" s="46"/>
      <c r="Y22" s="8"/>
      <c r="Z22" s="9"/>
      <c r="AA22" s="296"/>
      <c r="AB22" s="49"/>
      <c r="AC22" s="15"/>
    </row>
    <row r="23" spans="1:46" x14ac:dyDescent="0.25">
      <c r="D23" s="3"/>
      <c r="E23" s="10"/>
      <c r="F23" s="11"/>
      <c r="G23" s="293"/>
      <c r="H23" s="287"/>
      <c r="I23" s="47"/>
      <c r="J23" s="10"/>
      <c r="K23" s="11"/>
      <c r="L23" s="10"/>
      <c r="M23" s="47"/>
      <c r="N23" s="10"/>
      <c r="O23" s="11"/>
      <c r="P23" s="111"/>
      <c r="Q23" s="47"/>
      <c r="R23" s="10"/>
      <c r="S23" s="11"/>
      <c r="T23" s="47"/>
      <c r="U23" s="47"/>
      <c r="V23" s="297"/>
      <c r="W23" s="47"/>
      <c r="X23" s="47"/>
      <c r="Y23" s="10"/>
      <c r="Z23" s="11"/>
      <c r="AA23" s="297"/>
      <c r="AB23" s="127" t="s">
        <v>12</v>
      </c>
      <c r="AC23" s="17">
        <f>SUM(AC14:AC22)</f>
        <v>86566.781091346144</v>
      </c>
      <c r="AE23" t="s">
        <v>190</v>
      </c>
    </row>
    <row r="24" spans="1:46" x14ac:dyDescent="0.25">
      <c r="D24" s="3"/>
      <c r="E24" s="10"/>
      <c r="F24" s="11"/>
      <c r="G24" s="293"/>
      <c r="H24" s="287"/>
      <c r="I24" s="47"/>
      <c r="J24" s="10"/>
      <c r="K24" s="11"/>
      <c r="L24" s="10"/>
      <c r="M24" s="47"/>
      <c r="N24" s="10"/>
      <c r="O24" s="11"/>
      <c r="P24" s="124"/>
      <c r="Q24" s="47"/>
      <c r="R24" s="10"/>
      <c r="S24" s="11"/>
      <c r="T24" s="47"/>
      <c r="U24" s="47"/>
      <c r="V24" s="297"/>
      <c r="W24" s="47"/>
      <c r="X24" s="47"/>
      <c r="Y24" s="10"/>
      <c r="Z24" s="11"/>
      <c r="AA24" s="297"/>
      <c r="AB24" s="49"/>
      <c r="AC24" s="14"/>
    </row>
    <row r="25" spans="1:46" x14ac:dyDescent="0.25">
      <c r="A25" s="2" t="s">
        <v>4</v>
      </c>
      <c r="D25" s="3" t="s">
        <v>285</v>
      </c>
      <c r="E25" s="10"/>
      <c r="F25" s="11"/>
      <c r="G25" s="293"/>
      <c r="H25" s="287"/>
      <c r="I25" s="47" t="s">
        <v>285</v>
      </c>
      <c r="J25" s="10"/>
      <c r="K25" s="11"/>
      <c r="L25" s="10"/>
      <c r="M25" s="47"/>
      <c r="N25" s="10"/>
      <c r="O25" s="11"/>
      <c r="P25" s="124"/>
      <c r="Q25" s="47"/>
      <c r="R25" s="10"/>
      <c r="S25" s="11"/>
      <c r="T25" s="47"/>
      <c r="U25" s="47"/>
      <c r="V25" s="297"/>
      <c r="W25" s="47"/>
      <c r="X25" s="47" t="s">
        <v>285</v>
      </c>
      <c r="Y25" s="10"/>
      <c r="Z25" s="11"/>
      <c r="AA25" s="297"/>
      <c r="AB25" s="49"/>
      <c r="AC25" s="14"/>
      <c r="AE25" t="s">
        <v>287</v>
      </c>
      <c r="AF25" t="s">
        <v>286</v>
      </c>
      <c r="AH25" t="s">
        <v>312</v>
      </c>
    </row>
    <row r="26" spans="1:46" x14ac:dyDescent="0.25">
      <c r="B26" t="s">
        <v>1</v>
      </c>
      <c r="D26" s="6">
        <v>0.36</v>
      </c>
      <c r="E26" s="10"/>
      <c r="F26" s="12">
        <f>F14*D26</f>
        <v>402.43536</v>
      </c>
      <c r="G26" s="294"/>
      <c r="H26" s="125"/>
      <c r="I26" s="6">
        <f>D26</f>
        <v>0.36</v>
      </c>
      <c r="J26" s="10"/>
      <c r="K26" s="12">
        <f>$D26*K14</f>
        <v>414.50842080000001</v>
      </c>
      <c r="L26" s="10"/>
      <c r="M26" s="48">
        <f>$D26*M14</f>
        <v>0</v>
      </c>
      <c r="N26" s="10"/>
      <c r="O26" s="12">
        <f>O14*D26</f>
        <v>414.50842080000001</v>
      </c>
      <c r="P26" s="124"/>
      <c r="Q26" s="48">
        <f>Q14*D26</f>
        <v>621.76263119999999</v>
      </c>
      <c r="R26" s="10"/>
      <c r="S26" s="12">
        <f t="shared" ref="S26:S33" si="38">S14*D26</f>
        <v>414.50842080000001</v>
      </c>
      <c r="T26" s="48"/>
      <c r="U26" s="48">
        <f>$I26*U14</f>
        <v>1865.2878936</v>
      </c>
      <c r="V26" s="298"/>
      <c r="W26" s="48"/>
      <c r="X26" s="6">
        <f>D26</f>
        <v>0.36</v>
      </c>
      <c r="Y26" s="10"/>
      <c r="Z26" s="48">
        <f>$X26*Z14</f>
        <v>213.471836712</v>
      </c>
      <c r="AA26" s="298"/>
      <c r="AB26" s="49"/>
      <c r="AC26" s="15">
        <f>F26+K26+M26+O26+Q26+S26+Z26</f>
        <v>2481.195090312</v>
      </c>
      <c r="AE26" s="44">
        <f>AC14+AC26</f>
        <v>9373.4036745120011</v>
      </c>
      <c r="AF26" s="284">
        <f>AB14/($M$7*3)</f>
        <v>1.9230769230769232E-2</v>
      </c>
      <c r="AG26" s="46" t="str">
        <f>$B26</f>
        <v>Jeff Marr</v>
      </c>
    </row>
    <row r="27" spans="1:46" x14ac:dyDescent="0.25">
      <c r="B27" t="s">
        <v>61</v>
      </c>
      <c r="D27" s="6">
        <v>0.29499999999999998</v>
      </c>
      <c r="E27" s="10"/>
      <c r="F27" s="12">
        <f>F15*D27</f>
        <v>899.95060000000001</v>
      </c>
      <c r="G27" s="294"/>
      <c r="H27" s="125"/>
      <c r="I27" s="6">
        <f t="shared" ref="I27:I33" si="39">D27</f>
        <v>0.29499999999999998</v>
      </c>
      <c r="J27" s="10"/>
      <c r="K27" s="12">
        <f>K15*D27</f>
        <v>2224.6778832</v>
      </c>
      <c r="L27" s="10"/>
      <c r="M27" s="48">
        <f>M15*D27</f>
        <v>556.1694708</v>
      </c>
      <c r="N27" s="10"/>
      <c r="O27" s="12">
        <f>O15*D27</f>
        <v>1112.3389416</v>
      </c>
      <c r="P27" s="124"/>
      <c r="Q27" s="48">
        <f>Q15*D27</f>
        <v>1112.3389416</v>
      </c>
      <c r="R27" s="10"/>
      <c r="S27" s="12">
        <f t="shared" si="38"/>
        <v>1297.7287652</v>
      </c>
      <c r="T27" s="48"/>
      <c r="U27" s="48">
        <f t="shared" ref="U27:U33" si="40">$I27*U15</f>
        <v>6303.2540023999991</v>
      </c>
      <c r="V27" s="298"/>
      <c r="W27" s="48"/>
      <c r="X27" s="6">
        <f t="shared" ref="X27:X33" si="41">D27</f>
        <v>0.29499999999999998</v>
      </c>
      <c r="Y27" s="10"/>
      <c r="Z27" s="48">
        <f t="shared" ref="Z27:Z33" si="42">$X27*Z15</f>
        <v>286.42727746200001</v>
      </c>
      <c r="AA27" s="298"/>
      <c r="AB27" s="49"/>
      <c r="AC27" s="15">
        <f>F27+K27+M27+O27+Q27+S27+Z27</f>
        <v>7489.6318798620014</v>
      </c>
      <c r="AE27" s="44">
        <f t="shared" ref="AE27:AE33" si="43">AC15+AC27</f>
        <v>32878.214523462004</v>
      </c>
      <c r="AF27" s="284">
        <f t="shared" ref="AF27:AF33" si="44">AB15/($M$7*3)</f>
        <v>0.12980769230769232</v>
      </c>
      <c r="AG27" s="46" t="str">
        <f t="shared" ref="AG27:AG33" si="45">$B27</f>
        <v>Matt Hernick</v>
      </c>
      <c r="AH27" s="44">
        <f>AE27+AE28+AE29+AE32</f>
        <v>84905.212250362005</v>
      </c>
      <c r="AI27" s="284">
        <f>AF27+AF28+AF29+AF32</f>
        <v>0.38141025641025639</v>
      </c>
    </row>
    <row r="28" spans="1:46" x14ac:dyDescent="0.25">
      <c r="B28" t="s">
        <v>3</v>
      </c>
      <c r="D28" s="6">
        <v>0.29499999999999998</v>
      </c>
      <c r="E28" s="10"/>
      <c r="F28" s="12">
        <f>F16*D28</f>
        <v>404.69634000000002</v>
      </c>
      <c r="G28" s="294"/>
      <c r="H28" s="125"/>
      <c r="I28" s="6">
        <f t="shared" si="39"/>
        <v>0.29499999999999998</v>
      </c>
      <c r="J28" s="10"/>
      <c r="K28" s="12">
        <f>K16*D28</f>
        <v>1945.2404076</v>
      </c>
      <c r="L28" s="10"/>
      <c r="M28" s="48">
        <f>M16*D28</f>
        <v>833.67446039999993</v>
      </c>
      <c r="N28" s="10"/>
      <c r="O28" s="12">
        <f>O16*D28</f>
        <v>2084.1861509999999</v>
      </c>
      <c r="P28" s="124"/>
      <c r="Q28" s="48">
        <f>Q16*D28</f>
        <v>416.83723019999996</v>
      </c>
      <c r="R28" s="10"/>
      <c r="S28" s="12">
        <f t="shared" si="38"/>
        <v>2223.1318944</v>
      </c>
      <c r="T28" s="48"/>
      <c r="U28" s="48">
        <f t="shared" si="40"/>
        <v>7503.0701435999999</v>
      </c>
      <c r="V28" s="298"/>
      <c r="W28" s="48"/>
      <c r="X28" s="6">
        <f t="shared" si="41"/>
        <v>0.29499999999999998</v>
      </c>
      <c r="Y28" s="10"/>
      <c r="Z28" s="48">
        <f t="shared" si="42"/>
        <v>0</v>
      </c>
      <c r="AA28" s="298"/>
      <c r="AB28" s="49"/>
      <c r="AC28" s="15">
        <f>F28+K28+M28+O28+Q28+S28+Z28</f>
        <v>7907.7664836000004</v>
      </c>
      <c r="AE28" s="44">
        <f t="shared" si="43"/>
        <v>34713.7545636</v>
      </c>
      <c r="AF28" s="284">
        <f t="shared" si="44"/>
        <v>0.18269230769230768</v>
      </c>
      <c r="AG28" s="46" t="str">
        <f t="shared" si="45"/>
        <v>Aaron Ketchmark</v>
      </c>
    </row>
    <row r="29" spans="1:46" x14ac:dyDescent="0.25">
      <c r="B29" t="s">
        <v>56</v>
      </c>
      <c r="D29" s="6">
        <v>0.29499999999999998</v>
      </c>
      <c r="E29" s="10"/>
      <c r="F29" s="12">
        <f>F17*D29</f>
        <v>0</v>
      </c>
      <c r="G29" s="294"/>
      <c r="H29" s="125"/>
      <c r="I29" s="6">
        <f t="shared" si="39"/>
        <v>0.29499999999999998</v>
      </c>
      <c r="J29" s="10"/>
      <c r="K29" s="12">
        <f>K17*D29</f>
        <v>1219.7851631999999</v>
      </c>
      <c r="L29" s="10"/>
      <c r="M29" s="48">
        <f>M17*D29</f>
        <v>406.59505440000004</v>
      </c>
      <c r="N29" s="10"/>
      <c r="O29" s="12">
        <f>O17*D29</f>
        <v>813.19010880000008</v>
      </c>
      <c r="P29" s="124"/>
      <c r="Q29" s="48">
        <f>$D29*Q17</f>
        <v>0</v>
      </c>
      <c r="R29" s="10"/>
      <c r="S29" s="12">
        <f t="shared" si="38"/>
        <v>813.19010880000008</v>
      </c>
      <c r="T29" s="48"/>
      <c r="U29" s="48">
        <f t="shared" si="40"/>
        <v>3252.7604352000003</v>
      </c>
      <c r="V29" s="298"/>
      <c r="W29" s="48"/>
      <c r="X29" s="6">
        <f t="shared" si="41"/>
        <v>0.29499999999999998</v>
      </c>
      <c r="Y29" s="10"/>
      <c r="Z29" s="48">
        <f t="shared" si="42"/>
        <v>0</v>
      </c>
      <c r="AA29" s="298"/>
      <c r="AB29" s="49"/>
      <c r="AC29" s="15">
        <f>F29+K29+M29+O29+Q29+S29+Z29</f>
        <v>3252.7604351999998</v>
      </c>
      <c r="AE29" s="44">
        <f t="shared" si="43"/>
        <v>14279.066995200001</v>
      </c>
      <c r="AF29" s="284">
        <f t="shared" si="44"/>
        <v>5.128205128205128E-2</v>
      </c>
      <c r="AG29" s="46" t="str">
        <f t="shared" si="45"/>
        <v>Jim Tucker</v>
      </c>
    </row>
    <row r="30" spans="1:46" x14ac:dyDescent="0.25">
      <c r="B30" s="267" t="s">
        <v>62</v>
      </c>
      <c r="C30" s="267"/>
      <c r="D30" s="303">
        <v>0</v>
      </c>
      <c r="E30" s="304"/>
      <c r="F30" s="305">
        <f>F17*D30</f>
        <v>0</v>
      </c>
      <c r="G30" s="294"/>
      <c r="H30" s="306"/>
      <c r="I30" s="303">
        <f t="shared" si="39"/>
        <v>0</v>
      </c>
      <c r="J30" s="304"/>
      <c r="K30" s="305">
        <f>$D30*K18</f>
        <v>0</v>
      </c>
      <c r="L30" s="304"/>
      <c r="M30" s="307">
        <f>$D30*M18</f>
        <v>0</v>
      </c>
      <c r="N30" s="304"/>
      <c r="O30" s="305">
        <f>$D30*O18</f>
        <v>0</v>
      </c>
      <c r="P30" s="308"/>
      <c r="Q30" s="307">
        <f>$D30*Q18</f>
        <v>0</v>
      </c>
      <c r="R30" s="304"/>
      <c r="S30" s="309">
        <f t="shared" si="38"/>
        <v>0</v>
      </c>
      <c r="T30" s="307"/>
      <c r="U30" s="48">
        <f t="shared" si="40"/>
        <v>0</v>
      </c>
      <c r="V30" s="298"/>
      <c r="W30" s="306"/>
      <c r="X30" s="303">
        <f t="shared" si="41"/>
        <v>0</v>
      </c>
      <c r="Y30" s="304"/>
      <c r="Z30" s="48">
        <f t="shared" si="42"/>
        <v>0</v>
      </c>
      <c r="AA30" s="298"/>
      <c r="AB30" s="49"/>
      <c r="AC30" s="15">
        <f>F30+K30+M30+O30+Q30+S30+Z30</f>
        <v>0</v>
      </c>
      <c r="AE30" s="44">
        <f>AC18+AC30</f>
        <v>7802.9769399999996</v>
      </c>
      <c r="AF30" s="284">
        <f t="shared" si="44"/>
        <v>0.10416666666666667</v>
      </c>
      <c r="AG30" s="271" t="str">
        <f t="shared" si="45"/>
        <v>SAFL Undergrad</v>
      </c>
    </row>
    <row r="31" spans="1:46" x14ac:dyDescent="0.25">
      <c r="B31" t="s">
        <v>63</v>
      </c>
      <c r="D31" s="6">
        <v>0.36</v>
      </c>
      <c r="E31" s="10"/>
      <c r="F31" s="12">
        <f>F19*D31</f>
        <v>1489.6519615384616</v>
      </c>
      <c r="G31" s="294"/>
      <c r="H31" s="125"/>
      <c r="I31" s="6">
        <f t="shared" si="39"/>
        <v>0.36</v>
      </c>
      <c r="J31" s="10"/>
      <c r="K31" s="12">
        <v>0</v>
      </c>
      <c r="L31" s="10"/>
      <c r="M31" s="48">
        <v>0</v>
      </c>
      <c r="N31" s="10"/>
      <c r="O31" s="12">
        <v>0</v>
      </c>
      <c r="P31" s="124"/>
      <c r="Q31" s="48">
        <f>Q19*D31</f>
        <v>76.71707601923076</v>
      </c>
      <c r="R31" s="10"/>
      <c r="S31" s="12">
        <f t="shared" si="38"/>
        <v>306.86830407692304</v>
      </c>
      <c r="T31" s="48"/>
      <c r="U31" s="48">
        <f t="shared" si="40"/>
        <v>383.58538009615381</v>
      </c>
      <c r="V31" s="298"/>
      <c r="W31" s="48"/>
      <c r="X31" s="6">
        <f t="shared" si="41"/>
        <v>0.36</v>
      </c>
      <c r="Y31" s="10"/>
      <c r="Z31" s="48">
        <f t="shared" si="42"/>
        <v>316.07434143</v>
      </c>
      <c r="AA31" s="298"/>
      <c r="AB31" s="49"/>
      <c r="AC31" s="15">
        <f>F31+K31+M31+O31+Q31+Z31+S31</f>
        <v>2189.3116830646154</v>
      </c>
      <c r="AE31" s="44">
        <f t="shared" si="43"/>
        <v>8270.7330249107708</v>
      </c>
      <c r="AF31" s="284">
        <f t="shared" si="44"/>
        <v>2.3237179487179488E-2</v>
      </c>
      <c r="AG31" s="46" t="str">
        <f t="shared" si="45"/>
        <v>Sara Heger</v>
      </c>
    </row>
    <row r="32" spans="1:46" x14ac:dyDescent="0.25">
      <c r="B32" t="s">
        <v>64</v>
      </c>
      <c r="D32" s="6">
        <v>0.29499999999999998</v>
      </c>
      <c r="E32" s="10"/>
      <c r="F32" s="12">
        <f>F20*D32</f>
        <v>495.83600000000001</v>
      </c>
      <c r="G32" s="294"/>
      <c r="H32" s="125"/>
      <c r="I32" s="6">
        <f t="shared" si="39"/>
        <v>0.29499999999999998</v>
      </c>
      <c r="J32" s="10"/>
      <c r="K32" s="12">
        <f>$D32*K19</f>
        <v>0</v>
      </c>
      <c r="L32" s="10"/>
      <c r="M32" s="48">
        <f>$D32*M19</f>
        <v>0</v>
      </c>
      <c r="N32" s="10"/>
      <c r="O32" s="12">
        <f>$D32*O19</f>
        <v>0</v>
      </c>
      <c r="P32" s="124"/>
      <c r="Q32" s="48">
        <f>Q20*D32</f>
        <v>31.919442499999999</v>
      </c>
      <c r="R32" s="10"/>
      <c r="S32" s="12">
        <f t="shared" si="38"/>
        <v>31.919442499999999</v>
      </c>
      <c r="T32" s="48"/>
      <c r="U32" s="48">
        <f t="shared" si="40"/>
        <v>63.838884999999998</v>
      </c>
      <c r="V32" s="298"/>
      <c r="W32" s="48"/>
      <c r="X32" s="6">
        <f t="shared" si="41"/>
        <v>0.29499999999999998</v>
      </c>
      <c r="Y32" s="10"/>
      <c r="Z32" s="48">
        <f t="shared" si="42"/>
        <v>131.50810309999997</v>
      </c>
      <c r="AA32" s="298"/>
      <c r="AB32" s="49"/>
      <c r="AC32" s="15">
        <f>F32+K32+M32+O32+Q32+Z32+S32</f>
        <v>691.18298809999987</v>
      </c>
      <c r="AE32" s="44">
        <f t="shared" si="43"/>
        <v>3034.1761680999998</v>
      </c>
      <c r="AF32" s="284">
        <f t="shared" si="44"/>
        <v>1.7628205128205128E-2</v>
      </c>
      <c r="AG32" s="46" t="str">
        <f t="shared" si="45"/>
        <v>WRC Staff</v>
      </c>
    </row>
    <row r="33" spans="1:33" x14ac:dyDescent="0.25">
      <c r="B33" t="s">
        <v>181</v>
      </c>
      <c r="D33" s="6">
        <v>0.29499999999999998</v>
      </c>
      <c r="E33" s="13"/>
      <c r="F33" s="12">
        <f>F21*D33</f>
        <v>0</v>
      </c>
      <c r="G33" s="294"/>
      <c r="H33" s="125"/>
      <c r="I33" s="6">
        <f t="shared" si="39"/>
        <v>0.29499999999999998</v>
      </c>
      <c r="J33" s="13"/>
      <c r="K33" s="235">
        <f>K21*D33</f>
        <v>0</v>
      </c>
      <c r="L33" s="13"/>
      <c r="M33" s="236">
        <f>M21*D33</f>
        <v>0</v>
      </c>
      <c r="N33" s="13"/>
      <c r="O33" s="235">
        <f>O21*D33</f>
        <v>0</v>
      </c>
      <c r="P33" s="49"/>
      <c r="Q33" s="236">
        <f>Q21*D33</f>
        <v>0</v>
      </c>
      <c r="R33" s="13"/>
      <c r="S33" s="119">
        <f t="shared" si="38"/>
        <v>0</v>
      </c>
      <c r="T33" s="49"/>
      <c r="U33" s="48">
        <f t="shared" si="40"/>
        <v>0</v>
      </c>
      <c r="V33" s="298"/>
      <c r="W33" s="237"/>
      <c r="X33" s="6">
        <f t="shared" si="41"/>
        <v>0.29499999999999998</v>
      </c>
      <c r="Y33" s="13"/>
      <c r="Z33" s="48">
        <f t="shared" si="42"/>
        <v>66.759609701500011</v>
      </c>
      <c r="AA33" s="301"/>
      <c r="AC33" s="15">
        <f>F33+K33+M33+O33+Q33+Z33+S33</f>
        <v>66.759609701500011</v>
      </c>
      <c r="AE33" s="44">
        <f t="shared" si="43"/>
        <v>293.06337140150004</v>
      </c>
      <c r="AF33" s="284">
        <f t="shared" si="44"/>
        <v>1.6025641025641025E-3</v>
      </c>
      <c r="AG33" s="46" t="str">
        <f t="shared" si="45"/>
        <v>WRC Editor</v>
      </c>
    </row>
    <row r="34" spans="1:33" x14ac:dyDescent="0.25">
      <c r="E34" s="13"/>
      <c r="F34" s="15"/>
      <c r="G34" s="58"/>
      <c r="H34" s="131"/>
      <c r="I34" s="50"/>
      <c r="J34" s="13"/>
      <c r="K34" s="15"/>
      <c r="L34" s="13"/>
      <c r="M34" s="50"/>
      <c r="N34" s="13"/>
      <c r="O34" s="15"/>
      <c r="P34" s="49"/>
      <c r="Q34" s="50"/>
      <c r="R34" s="13"/>
      <c r="S34" s="15"/>
      <c r="T34" s="49"/>
      <c r="U34" s="50"/>
      <c r="V34" s="299"/>
      <c r="W34" s="50"/>
      <c r="X34" s="50"/>
      <c r="Y34" s="13"/>
      <c r="Z34" s="119"/>
      <c r="AA34" s="301"/>
      <c r="AB34" s="127" t="s">
        <v>13</v>
      </c>
      <c r="AC34" s="17">
        <f>SUM(AC26:AC33)</f>
        <v>24078.608169840118</v>
      </c>
    </row>
    <row r="35" spans="1:33" ht="15.75" thickBot="1" x14ac:dyDescent="0.3">
      <c r="E35" s="23"/>
      <c r="F35" s="43">
        <f>SUM(F14:F33)</f>
        <v>15284.900376923077</v>
      </c>
      <c r="G35" s="58"/>
      <c r="H35" s="288"/>
      <c r="I35" s="51"/>
      <c r="J35" s="23"/>
      <c r="K35" s="43">
        <f>SUM(K14:K33)</f>
        <v>26186.589354799995</v>
      </c>
      <c r="L35" s="23"/>
      <c r="M35" s="51">
        <f>SUM(M14:M33)</f>
        <v>8366.4546656000002</v>
      </c>
      <c r="N35" s="23"/>
      <c r="O35" s="43">
        <f>SUM(O14:O33)</f>
        <v>21569.850822200002</v>
      </c>
      <c r="P35" s="62"/>
      <c r="Q35" s="51">
        <f>SUM(Q14:Q33)</f>
        <v>10212.23427046154</v>
      </c>
      <c r="R35" s="23"/>
      <c r="S35" s="43">
        <f>SUM(S14:S33)</f>
        <v>24773.42219154616</v>
      </c>
      <c r="T35" s="51"/>
      <c r="U35" s="51">
        <f>SUM(U14:U33)</f>
        <v>91108.55130460771</v>
      </c>
      <c r="V35" s="299"/>
      <c r="W35" s="51"/>
      <c r="X35" s="51"/>
      <c r="Y35" s="23"/>
      <c r="Z35" s="43">
        <f>SUM(Z14:Z33)</f>
        <v>4251.9375796555005</v>
      </c>
      <c r="AA35" s="299"/>
      <c r="AB35" s="128" t="s">
        <v>14</v>
      </c>
      <c r="AC35" s="25">
        <f>AC34+AC23</f>
        <v>110645.38926118627</v>
      </c>
    </row>
    <row r="36" spans="1:33" x14ac:dyDescent="0.25">
      <c r="A36" s="2" t="s">
        <v>127</v>
      </c>
      <c r="E36" s="55"/>
      <c r="G36" s="58"/>
      <c r="H36" s="289"/>
      <c r="I36" s="58"/>
      <c r="J36" s="57"/>
      <c r="K36" s="58">
        <v>0</v>
      </c>
      <c r="L36" s="55"/>
      <c r="M36" s="58">
        <v>0</v>
      </c>
      <c r="N36" s="55"/>
      <c r="O36" s="56">
        <v>0</v>
      </c>
      <c r="P36" s="57"/>
      <c r="Q36" s="58">
        <v>0</v>
      </c>
      <c r="R36" s="55"/>
      <c r="S36" s="56">
        <v>0</v>
      </c>
      <c r="T36" s="58"/>
      <c r="U36" s="50">
        <f t="shared" ref="U36:U39" si="46">SUM(K36,M36,O36,Q36,S36)</f>
        <v>0</v>
      </c>
      <c r="V36" s="299"/>
      <c r="W36" s="50"/>
      <c r="X36" s="50"/>
      <c r="Y36" s="55"/>
      <c r="Z36" s="56">
        <v>0</v>
      </c>
      <c r="AA36" s="299"/>
      <c r="AB36" s="129"/>
      <c r="AC36" s="60">
        <f>U36+F37</f>
        <v>4000</v>
      </c>
    </row>
    <row r="37" spans="1:33" x14ac:dyDescent="0.25">
      <c r="B37" t="s">
        <v>179</v>
      </c>
      <c r="E37" s="55"/>
      <c r="F37" s="56">
        <v>4000</v>
      </c>
      <c r="G37" s="58"/>
      <c r="H37" s="289"/>
      <c r="I37" s="58"/>
      <c r="J37" s="57"/>
      <c r="K37" s="58"/>
      <c r="L37" s="55"/>
      <c r="M37" s="58" t="s">
        <v>295</v>
      </c>
      <c r="N37" s="55"/>
      <c r="O37" s="56"/>
      <c r="P37" s="57"/>
      <c r="Q37" s="58"/>
      <c r="R37" s="55"/>
      <c r="S37" s="56"/>
      <c r="T37" s="58"/>
      <c r="U37" s="50">
        <f t="shared" si="46"/>
        <v>0</v>
      </c>
      <c r="V37" s="299"/>
      <c r="W37" s="50"/>
      <c r="X37" s="50"/>
      <c r="Y37" s="55"/>
      <c r="Z37" s="56"/>
      <c r="AA37" s="299"/>
      <c r="AB37" s="129"/>
      <c r="AC37" s="60">
        <f>SUM(S37:Z37)</f>
        <v>0</v>
      </c>
    </row>
    <row r="38" spans="1:33" x14ac:dyDescent="0.25">
      <c r="B38" t="s">
        <v>180</v>
      </c>
      <c r="E38" s="55"/>
      <c r="F38" s="56"/>
      <c r="G38" s="58"/>
      <c r="H38" s="289"/>
      <c r="I38" s="58"/>
      <c r="J38" s="13"/>
      <c r="K38" s="15">
        <f>50*12</f>
        <v>600</v>
      </c>
      <c r="L38" s="13"/>
      <c r="M38" s="50">
        <f>50*4*4*5</f>
        <v>4000</v>
      </c>
      <c r="N38" s="13"/>
      <c r="O38" s="15"/>
      <c r="P38" s="49"/>
      <c r="Q38" s="50"/>
      <c r="R38" s="131"/>
      <c r="S38" s="50">
        <f>50*4*4*5</f>
        <v>4000</v>
      </c>
      <c r="T38" s="58"/>
      <c r="U38" s="50">
        <f t="shared" si="46"/>
        <v>8600</v>
      </c>
      <c r="V38" s="299"/>
      <c r="W38" s="50"/>
      <c r="X38" s="50"/>
      <c r="Y38" s="55"/>
      <c r="Z38" s="56"/>
      <c r="AA38" s="299"/>
      <c r="AB38" s="129"/>
      <c r="AC38" s="60">
        <f>SUM(K38:S38)</f>
        <v>8600</v>
      </c>
      <c r="AD38" t="s">
        <v>288</v>
      </c>
    </row>
    <row r="39" spans="1:33" x14ac:dyDescent="0.25">
      <c r="B39" t="s">
        <v>200</v>
      </c>
      <c r="E39" s="55"/>
      <c r="F39" s="56"/>
      <c r="G39" s="58"/>
      <c r="H39" s="289"/>
      <c r="I39" s="58"/>
      <c r="J39" s="57"/>
      <c r="K39" s="58"/>
      <c r="L39" s="55"/>
      <c r="M39" s="58"/>
      <c r="N39" s="55"/>
      <c r="O39" s="56"/>
      <c r="P39" s="57"/>
      <c r="Q39" s="58"/>
      <c r="R39" s="55"/>
      <c r="S39" s="56"/>
      <c r="T39" s="58"/>
      <c r="U39" s="50">
        <f t="shared" si="46"/>
        <v>0</v>
      </c>
      <c r="V39" s="299"/>
      <c r="W39" s="50"/>
      <c r="X39" s="50"/>
      <c r="Y39" s="55"/>
      <c r="Z39" s="56"/>
      <c r="AA39" s="299"/>
      <c r="AB39" s="129"/>
      <c r="AC39" s="60"/>
    </row>
    <row r="40" spans="1:33" ht="15.75" thickBot="1" x14ac:dyDescent="0.3">
      <c r="E40" s="23"/>
      <c r="F40" s="43">
        <f>SUM(F37:F39)</f>
        <v>4000</v>
      </c>
      <c r="G40" s="58"/>
      <c r="H40" s="288"/>
      <c r="I40" s="51"/>
      <c r="J40" s="62"/>
      <c r="K40" s="43">
        <f>SUM(K36:K39)</f>
        <v>600</v>
      </c>
      <c r="L40" s="23"/>
      <c r="M40" s="51">
        <f>SUM(M36:M39)</f>
        <v>4000</v>
      </c>
      <c r="N40" s="23"/>
      <c r="O40" s="43">
        <f>SUM(O36:O39)</f>
        <v>0</v>
      </c>
      <c r="P40" s="62"/>
      <c r="Q40" s="51">
        <f>SUM(Q36:Q39)</f>
        <v>0</v>
      </c>
      <c r="R40" s="23"/>
      <c r="S40" s="43">
        <f>SUM(S36:S39)</f>
        <v>4000</v>
      </c>
      <c r="T40" s="51"/>
      <c r="U40" s="51">
        <f>SUM(U36:U39)</f>
        <v>8600</v>
      </c>
      <c r="V40" s="299"/>
      <c r="W40" s="51"/>
      <c r="X40" s="51"/>
      <c r="Y40" s="23"/>
      <c r="Z40" s="43">
        <f>SUM(Z36:Z39)</f>
        <v>0</v>
      </c>
      <c r="AA40" s="299"/>
      <c r="AB40" s="128" t="s">
        <v>128</v>
      </c>
      <c r="AC40" s="25">
        <f>F40+K40+M40+O40+Q40+S40+Z40</f>
        <v>12600</v>
      </c>
    </row>
    <row r="41" spans="1:33" x14ac:dyDescent="0.25">
      <c r="A41" s="2" t="s">
        <v>126</v>
      </c>
      <c r="E41" s="13"/>
      <c r="F41" s="15"/>
      <c r="G41" s="58"/>
      <c r="H41" s="131"/>
      <c r="I41" s="50"/>
      <c r="L41" s="13"/>
      <c r="M41" s="49"/>
      <c r="N41" s="13"/>
      <c r="O41" s="14"/>
      <c r="P41" s="49"/>
      <c r="Q41" s="49"/>
      <c r="R41" s="13"/>
      <c r="S41" s="14"/>
      <c r="T41" s="49"/>
      <c r="U41" s="49"/>
      <c r="V41" s="299"/>
      <c r="W41" s="319" t="s">
        <v>316</v>
      </c>
      <c r="X41" s="49"/>
      <c r="Y41" s="13"/>
      <c r="Z41" s="14"/>
      <c r="AA41" s="300"/>
      <c r="AB41" s="49"/>
      <c r="AC41" s="15"/>
    </row>
    <row r="42" spans="1:33" s="61" customFormat="1" x14ac:dyDescent="0.25">
      <c r="B42" s="256" t="s">
        <v>254</v>
      </c>
      <c r="C42" s="256"/>
      <c r="D42" s="256"/>
      <c r="E42" s="256"/>
      <c r="F42" s="256"/>
      <c r="G42" s="57"/>
      <c r="H42" s="257"/>
      <c r="I42" s="256"/>
      <c r="J42" s="256" t="s">
        <v>81</v>
      </c>
      <c r="K42" s="258">
        <v>4000</v>
      </c>
      <c r="L42" s="256"/>
      <c r="M42" s="256"/>
      <c r="N42" s="257"/>
      <c r="O42" s="261"/>
      <c r="P42" s="260"/>
      <c r="Q42" s="260"/>
      <c r="R42" s="257" t="s">
        <v>81</v>
      </c>
      <c r="S42" s="261">
        <v>3500</v>
      </c>
      <c r="T42" s="260"/>
      <c r="U42" s="259">
        <f>SUM(E42:S42)</f>
        <v>7500</v>
      </c>
      <c r="V42" s="300"/>
      <c r="W42" s="320" t="s">
        <v>294</v>
      </c>
      <c r="X42" s="58"/>
      <c r="Y42" s="55"/>
      <c r="Z42" s="244"/>
      <c r="AA42" s="300"/>
      <c r="AB42" s="57"/>
      <c r="AC42" s="56"/>
    </row>
    <row r="43" spans="1:33" s="61" customFormat="1" x14ac:dyDescent="0.25">
      <c r="B43" s="255" t="s">
        <v>257</v>
      </c>
      <c r="C43" s="255"/>
      <c r="D43" s="255"/>
      <c r="E43" s="262"/>
      <c r="F43" s="263"/>
      <c r="G43" s="58"/>
      <c r="H43" s="290"/>
      <c r="I43" s="266"/>
      <c r="J43" s="255" t="s">
        <v>77</v>
      </c>
      <c r="K43" s="263">
        <v>3000</v>
      </c>
      <c r="L43" s="255" t="s">
        <v>259</v>
      </c>
      <c r="M43" s="255">
        <v>500</v>
      </c>
      <c r="N43" s="262"/>
      <c r="O43" s="264"/>
      <c r="P43" s="265"/>
      <c r="Q43" s="265"/>
      <c r="R43" s="265" t="s">
        <v>264</v>
      </c>
      <c r="S43" s="265">
        <v>1000</v>
      </c>
      <c r="T43" s="265"/>
      <c r="U43" s="266">
        <f>SUM(E43:S45)</f>
        <v>9000</v>
      </c>
      <c r="V43" s="299"/>
      <c r="W43" s="321" t="s">
        <v>290</v>
      </c>
      <c r="X43" s="58"/>
      <c r="Y43" s="55"/>
      <c r="Z43" s="244"/>
      <c r="AA43" s="300"/>
      <c r="AB43" s="57"/>
      <c r="AC43" s="56"/>
    </row>
    <row r="44" spans="1:33" s="61" customFormat="1" x14ac:dyDescent="0.25">
      <c r="B44" s="255"/>
      <c r="C44" s="255"/>
      <c r="D44" s="255"/>
      <c r="E44" s="262"/>
      <c r="F44" s="263"/>
      <c r="G44" s="58"/>
      <c r="H44" s="290"/>
      <c r="I44" s="266"/>
      <c r="J44" s="255" t="s">
        <v>78</v>
      </c>
      <c r="K44" s="263">
        <v>1500</v>
      </c>
      <c r="L44" s="255" t="s">
        <v>260</v>
      </c>
      <c r="M44" s="266">
        <v>500</v>
      </c>
      <c r="N44" s="262"/>
      <c r="O44" s="263"/>
      <c r="P44" s="265"/>
      <c r="Q44" s="265"/>
      <c r="R44" s="262" t="s">
        <v>265</v>
      </c>
      <c r="S44" s="263">
        <v>1000</v>
      </c>
      <c r="T44" s="265"/>
      <c r="U44" s="266"/>
      <c r="V44" s="299"/>
      <c r="W44" s="321"/>
      <c r="X44" s="58"/>
      <c r="Y44" s="55"/>
      <c r="Z44" s="244"/>
      <c r="AA44" s="300"/>
      <c r="AB44" s="57"/>
      <c r="AC44" s="56"/>
    </row>
    <row r="45" spans="1:33" s="61" customFormat="1" x14ac:dyDescent="0.25">
      <c r="B45" s="255"/>
      <c r="C45" s="255"/>
      <c r="D45" s="255"/>
      <c r="E45" s="262"/>
      <c r="F45" s="263"/>
      <c r="G45" s="58"/>
      <c r="H45" s="290"/>
      <c r="I45" s="266"/>
      <c r="J45" s="255" t="s">
        <v>79</v>
      </c>
      <c r="K45" s="263">
        <v>1500</v>
      </c>
      <c r="L45" s="255"/>
      <c r="M45" s="266"/>
      <c r="N45" s="262"/>
      <c r="O45" s="263"/>
      <c r="P45" s="265"/>
      <c r="Q45" s="265"/>
      <c r="R45" s="262"/>
      <c r="S45" s="263"/>
      <c r="T45" s="265"/>
      <c r="U45" s="266"/>
      <c r="V45" s="299"/>
      <c r="W45" s="321"/>
      <c r="X45" s="58"/>
      <c r="Y45" s="55"/>
      <c r="Z45" s="244"/>
      <c r="AA45" s="300"/>
      <c r="AB45" s="57"/>
      <c r="AC45" s="56"/>
    </row>
    <row r="46" spans="1:33" s="61" customFormat="1" x14ac:dyDescent="0.25">
      <c r="B46" s="256" t="s">
        <v>258</v>
      </c>
      <c r="C46" s="256"/>
      <c r="D46" s="256"/>
      <c r="E46" s="257"/>
      <c r="F46" s="258"/>
      <c r="G46" s="58"/>
      <c r="H46" s="291"/>
      <c r="I46" s="259"/>
      <c r="J46" s="256" t="s">
        <v>80</v>
      </c>
      <c r="K46" s="258">
        <v>1200</v>
      </c>
      <c r="L46" s="256"/>
      <c r="M46" s="256"/>
      <c r="N46" s="257"/>
      <c r="O46" s="261"/>
      <c r="P46" s="260"/>
      <c r="Q46" s="260"/>
      <c r="R46" s="257"/>
      <c r="S46" s="261"/>
      <c r="T46" s="260"/>
      <c r="U46" s="259">
        <f>SUM(E46:S47)</f>
        <v>3700</v>
      </c>
      <c r="V46" s="299"/>
      <c r="W46" s="320" t="s">
        <v>291</v>
      </c>
      <c r="X46" s="58"/>
      <c r="Y46" s="55"/>
      <c r="Z46" s="244"/>
      <c r="AA46" s="300"/>
      <c r="AB46" s="57"/>
      <c r="AC46" s="56"/>
    </row>
    <row r="47" spans="1:33" s="61" customFormat="1" x14ac:dyDescent="0.25">
      <c r="B47" s="256"/>
      <c r="C47" s="256"/>
      <c r="D47" s="256"/>
      <c r="E47" s="257"/>
      <c r="F47" s="258"/>
      <c r="G47" s="58"/>
      <c r="H47" s="291"/>
      <c r="I47" s="259"/>
      <c r="J47" s="256" t="s">
        <v>82</v>
      </c>
      <c r="K47" s="258">
        <v>2500</v>
      </c>
      <c r="L47" s="260"/>
      <c r="M47" s="259"/>
      <c r="N47" s="257"/>
      <c r="O47" s="258"/>
      <c r="P47" s="260"/>
      <c r="Q47" s="260"/>
      <c r="R47" s="257"/>
      <c r="S47" s="258"/>
      <c r="T47" s="260"/>
      <c r="U47" s="259"/>
      <c r="V47" s="299"/>
      <c r="W47" s="320"/>
      <c r="X47" s="58"/>
      <c r="Y47" s="55"/>
      <c r="Z47" s="244"/>
      <c r="AA47" s="300"/>
      <c r="AB47" s="57"/>
      <c r="AC47" s="56"/>
    </row>
    <row r="48" spans="1:33" s="61" customFormat="1" x14ac:dyDescent="0.25">
      <c r="B48" s="255" t="s">
        <v>253</v>
      </c>
      <c r="C48" s="255"/>
      <c r="D48" s="255"/>
      <c r="E48" s="262"/>
      <c r="F48" s="263"/>
      <c r="G48" s="58"/>
      <c r="H48" s="290"/>
      <c r="I48" s="266"/>
      <c r="J48" s="255"/>
      <c r="K48" s="255"/>
      <c r="L48" s="262"/>
      <c r="M48" s="266"/>
      <c r="N48" s="262" t="s">
        <v>262</v>
      </c>
      <c r="O48" s="263">
        <v>1900</v>
      </c>
      <c r="P48" s="255"/>
      <c r="Q48" s="255"/>
      <c r="R48" s="262" t="s">
        <v>263</v>
      </c>
      <c r="S48" s="264">
        <v>1500</v>
      </c>
      <c r="T48" s="255"/>
      <c r="U48" s="266">
        <f>SUM(E48:S49)</f>
        <v>3900</v>
      </c>
      <c r="V48" s="299"/>
      <c r="W48" s="321" t="s">
        <v>292</v>
      </c>
      <c r="X48" s="58"/>
      <c r="Y48" s="55"/>
      <c r="Z48" s="244"/>
      <c r="AA48" s="300"/>
      <c r="AB48" s="57"/>
      <c r="AC48" s="56"/>
    </row>
    <row r="49" spans="1:34" s="61" customFormat="1" x14ac:dyDescent="0.25">
      <c r="B49" s="255"/>
      <c r="C49" s="255"/>
      <c r="D49" s="255"/>
      <c r="E49" s="262"/>
      <c r="F49" s="263"/>
      <c r="G49" s="58"/>
      <c r="H49" s="290"/>
      <c r="I49" s="266"/>
      <c r="J49" s="255"/>
      <c r="K49" s="255"/>
      <c r="L49" s="262"/>
      <c r="M49" s="266"/>
      <c r="N49" s="262"/>
      <c r="O49" s="263"/>
      <c r="P49" s="255"/>
      <c r="Q49" s="255"/>
      <c r="R49" s="262" t="s">
        <v>99</v>
      </c>
      <c r="S49" s="264">
        <v>500</v>
      </c>
      <c r="T49" s="255"/>
      <c r="U49" s="266"/>
      <c r="V49" s="299"/>
      <c r="W49" s="321"/>
      <c r="X49" s="58"/>
      <c r="Y49" s="55"/>
      <c r="Z49" s="244"/>
      <c r="AA49" s="300"/>
      <c r="AB49" s="57"/>
      <c r="AC49" s="56"/>
    </row>
    <row r="50" spans="1:34" s="61" customFormat="1" x14ac:dyDescent="0.25">
      <c r="B50" s="256" t="s">
        <v>255</v>
      </c>
      <c r="C50" s="256"/>
      <c r="D50" s="256"/>
      <c r="E50" s="257"/>
      <c r="F50" s="258"/>
      <c r="G50" s="58"/>
      <c r="H50" s="291"/>
      <c r="I50" s="259"/>
      <c r="J50" s="256" t="s">
        <v>95</v>
      </c>
      <c r="K50" s="258">
        <v>4000</v>
      </c>
      <c r="L50" s="257" t="s">
        <v>261</v>
      </c>
      <c r="M50" s="259">
        <v>500</v>
      </c>
      <c r="N50" s="257" t="s">
        <v>97</v>
      </c>
      <c r="O50" s="258">
        <v>240</v>
      </c>
      <c r="P50" s="260"/>
      <c r="Q50" s="259"/>
      <c r="R50" s="257" t="s">
        <v>97</v>
      </c>
      <c r="S50" s="258">
        <v>240</v>
      </c>
      <c r="T50" s="259"/>
      <c r="U50" s="259">
        <f>SUM(E50:S50)</f>
        <v>4980</v>
      </c>
      <c r="V50" s="299"/>
      <c r="W50" s="320" t="s">
        <v>293</v>
      </c>
      <c r="X50" s="58"/>
      <c r="Y50" s="55"/>
      <c r="Z50" s="244"/>
      <c r="AA50" s="300"/>
      <c r="AB50" s="57"/>
      <c r="AC50" s="56"/>
    </row>
    <row r="51" spans="1:34" s="61" customFormat="1" x14ac:dyDescent="0.25">
      <c r="B51" s="255" t="s">
        <v>256</v>
      </c>
      <c r="C51" s="255"/>
      <c r="D51" s="255"/>
      <c r="E51" s="262" t="s">
        <v>75</v>
      </c>
      <c r="F51" s="263">
        <v>200</v>
      </c>
      <c r="G51" s="58"/>
      <c r="H51" s="290"/>
      <c r="I51" s="266"/>
      <c r="J51" s="255" t="s">
        <v>10</v>
      </c>
      <c r="K51" s="263">
        <v>750</v>
      </c>
      <c r="L51" s="255" t="s">
        <v>83</v>
      </c>
      <c r="M51" s="266">
        <v>750</v>
      </c>
      <c r="N51" s="262" t="s">
        <v>96</v>
      </c>
      <c r="O51" s="263">
        <v>500</v>
      </c>
      <c r="P51" s="265"/>
      <c r="Q51" s="266"/>
      <c r="R51" s="262" t="s">
        <v>96</v>
      </c>
      <c r="S51" s="263">
        <v>500</v>
      </c>
      <c r="T51" s="266"/>
      <c r="U51" s="266">
        <f>SUM(E51:S52)</f>
        <v>5975</v>
      </c>
      <c r="V51" s="299"/>
      <c r="W51" s="321" t="s">
        <v>296</v>
      </c>
      <c r="X51" s="58"/>
      <c r="Y51" s="55"/>
      <c r="Z51" s="244"/>
      <c r="AA51" s="300"/>
      <c r="AB51" s="57"/>
      <c r="AC51" s="56"/>
      <c r="AD51" s="61" t="s">
        <v>266</v>
      </c>
    </row>
    <row r="52" spans="1:34" s="61" customFormat="1" x14ac:dyDescent="0.25">
      <c r="B52" s="255"/>
      <c r="C52" s="255"/>
      <c r="D52" s="255"/>
      <c r="E52" s="262"/>
      <c r="F52" s="263"/>
      <c r="G52" s="58"/>
      <c r="H52" s="290"/>
      <c r="I52" s="266"/>
      <c r="J52" s="255"/>
      <c r="K52" s="263"/>
      <c r="L52" s="255" t="s">
        <v>96</v>
      </c>
      <c r="M52" s="266">
        <v>500</v>
      </c>
      <c r="N52" s="262" t="s">
        <v>10</v>
      </c>
      <c r="O52" s="263">
        <v>1500</v>
      </c>
      <c r="P52" s="265"/>
      <c r="Q52" s="266"/>
      <c r="R52" s="262" t="s">
        <v>10</v>
      </c>
      <c r="S52" s="263">
        <v>1275</v>
      </c>
      <c r="T52" s="266"/>
      <c r="U52" s="266"/>
      <c r="V52" s="299"/>
      <c r="W52" s="255"/>
      <c r="X52" s="58"/>
      <c r="Y52" s="55"/>
      <c r="Z52" s="244"/>
      <c r="AA52" s="300"/>
      <c r="AB52" s="57"/>
      <c r="AC52" s="56"/>
    </row>
    <row r="53" spans="1:34" x14ac:dyDescent="0.25">
      <c r="D53" s="26"/>
      <c r="E53" s="13"/>
      <c r="F53" s="15"/>
      <c r="G53" s="58"/>
      <c r="H53" s="131"/>
      <c r="I53" s="50"/>
      <c r="K53" s="15"/>
      <c r="L53" s="13"/>
      <c r="M53" s="49"/>
      <c r="N53" s="13"/>
      <c r="O53" s="14"/>
      <c r="P53" s="49"/>
      <c r="Q53" s="49"/>
      <c r="S53" s="14"/>
      <c r="T53" s="49"/>
      <c r="U53" s="50"/>
      <c r="V53" s="299"/>
      <c r="W53" s="50"/>
      <c r="X53" s="50"/>
      <c r="Y53" s="13"/>
      <c r="Z53" s="14"/>
      <c r="AA53" s="300"/>
      <c r="AB53" s="49"/>
      <c r="AC53" s="15"/>
    </row>
    <row r="54" spans="1:34" ht="14.45" customHeight="1" thickBot="1" x14ac:dyDescent="0.3">
      <c r="A54" s="2" t="s">
        <v>130</v>
      </c>
      <c r="B54" s="2"/>
      <c r="D54" s="26"/>
      <c r="E54" s="23"/>
      <c r="F54" s="43">
        <f>SUM(F41:F53)</f>
        <v>200</v>
      </c>
      <c r="G54" s="58"/>
      <c r="H54" s="288"/>
      <c r="I54" s="51"/>
      <c r="J54" s="23"/>
      <c r="K54" s="43">
        <f>SUM(K41:K53)</f>
        <v>18450</v>
      </c>
      <c r="L54" s="23"/>
      <c r="M54" s="43">
        <f>SUM(M41:M53)</f>
        <v>2750</v>
      </c>
      <c r="N54" s="23"/>
      <c r="O54" s="43">
        <f>SUM(O41:O53)</f>
        <v>4140</v>
      </c>
      <c r="P54" s="62"/>
      <c r="Q54" s="43">
        <f>SUM(Q41:Q53)</f>
        <v>0</v>
      </c>
      <c r="R54" s="23"/>
      <c r="S54" s="43">
        <f>SUM(S41:S53)</f>
        <v>9515</v>
      </c>
      <c r="T54" s="51"/>
      <c r="U54" s="51">
        <f>SUM(U41:U53)</f>
        <v>35055</v>
      </c>
      <c r="V54" s="299"/>
      <c r="W54" s="51"/>
      <c r="X54" s="51"/>
      <c r="Y54" s="23"/>
      <c r="Z54" s="43">
        <f>SUM(Z42:Z53)</f>
        <v>0</v>
      </c>
      <c r="AA54" s="299"/>
      <c r="AB54" s="128" t="s">
        <v>15</v>
      </c>
      <c r="AC54" s="25">
        <f>F54+K54+M54+O54+Q54+S54+Z54</f>
        <v>35055</v>
      </c>
    </row>
    <row r="55" spans="1:34" x14ac:dyDescent="0.25">
      <c r="D55" s="26"/>
      <c r="E55" s="55"/>
      <c r="F55" s="56"/>
      <c r="G55" s="58"/>
      <c r="H55" s="289"/>
      <c r="I55" s="58"/>
      <c r="J55" s="55" t="s">
        <v>76</v>
      </c>
      <c r="K55" s="15">
        <v>8000</v>
      </c>
      <c r="L55" s="55"/>
      <c r="M55" s="58"/>
      <c r="N55" s="55"/>
      <c r="O55" s="56"/>
      <c r="P55" s="57"/>
      <c r="Q55" s="58"/>
      <c r="R55" s="55"/>
      <c r="S55" s="56"/>
      <c r="T55" s="58"/>
      <c r="U55" s="50">
        <f>SUM(K55,M55,O55,Q55,S55)</f>
        <v>8000</v>
      </c>
      <c r="V55" s="299"/>
      <c r="W55" s="50"/>
      <c r="X55" s="50"/>
      <c r="Y55" s="55"/>
      <c r="Z55" s="56"/>
      <c r="AA55" s="299"/>
      <c r="AB55" s="129"/>
      <c r="AC55" s="60"/>
    </row>
    <row r="56" spans="1:34" x14ac:dyDescent="0.25">
      <c r="D56" s="26"/>
      <c r="E56" s="55"/>
      <c r="F56" s="56"/>
      <c r="G56" s="58"/>
      <c r="H56" s="289"/>
      <c r="I56" s="58"/>
      <c r="J56" s="61"/>
      <c r="K56" s="56"/>
      <c r="L56" s="55"/>
      <c r="M56" s="58"/>
      <c r="N56" s="55"/>
      <c r="O56" s="56"/>
      <c r="P56" s="57"/>
      <c r="Q56" s="58"/>
      <c r="R56" s="55"/>
      <c r="S56" s="56"/>
      <c r="T56" s="58"/>
      <c r="U56" s="50">
        <f>SUM(K56,M56,O56,Q56,S56)</f>
        <v>0</v>
      </c>
      <c r="V56" s="299"/>
      <c r="W56" s="50"/>
      <c r="X56" s="50"/>
      <c r="Y56" s="55"/>
      <c r="Z56" s="56"/>
      <c r="AA56" s="299"/>
      <c r="AB56" s="129"/>
      <c r="AC56" s="60"/>
    </row>
    <row r="57" spans="1:34" x14ac:dyDescent="0.25">
      <c r="D57" s="26"/>
      <c r="E57" s="55"/>
      <c r="F57" s="56"/>
      <c r="G57" s="58"/>
      <c r="H57" s="289"/>
      <c r="I57" s="58"/>
      <c r="J57" s="55"/>
      <c r="K57" s="56"/>
      <c r="L57" s="55"/>
      <c r="M57" s="58"/>
      <c r="N57" s="55"/>
      <c r="O57" s="56"/>
      <c r="P57" s="57"/>
      <c r="Q57" s="58"/>
      <c r="R57" s="55"/>
      <c r="S57" s="56"/>
      <c r="T57" s="58"/>
      <c r="U57" s="50">
        <f>SUM(K57,M57,O57,Q57,S57)</f>
        <v>0</v>
      </c>
      <c r="V57" s="299"/>
      <c r="W57" s="50"/>
      <c r="X57" s="50"/>
      <c r="Y57" s="55"/>
      <c r="Z57" s="56"/>
      <c r="AA57" s="299"/>
      <c r="AB57" s="129"/>
      <c r="AC57" s="60"/>
    </row>
    <row r="58" spans="1:34" ht="15.75" thickBot="1" x14ac:dyDescent="0.3">
      <c r="A58" s="2" t="s">
        <v>129</v>
      </c>
      <c r="D58" s="26" t="s">
        <v>281</v>
      </c>
      <c r="E58" s="23"/>
      <c r="F58" s="43">
        <f>SUM(F55:F57)</f>
        <v>0</v>
      </c>
      <c r="G58" s="58"/>
      <c r="H58" s="288"/>
      <c r="I58" s="51"/>
      <c r="J58" s="23"/>
      <c r="K58" s="43">
        <f>SUM(K55:K57)</f>
        <v>8000</v>
      </c>
      <c r="L58" s="23"/>
      <c r="M58" s="51">
        <f>SUM(M55:M57)</f>
        <v>0</v>
      </c>
      <c r="N58" s="23"/>
      <c r="O58" s="43">
        <f>SUM(O55:O57)</f>
        <v>0</v>
      </c>
      <c r="P58" s="62"/>
      <c r="Q58" s="51">
        <f>SUM(Q55:Q57)</f>
        <v>0</v>
      </c>
      <c r="R58" s="23"/>
      <c r="S58" s="43">
        <f>SUM(S55:S57)</f>
        <v>0</v>
      </c>
      <c r="T58" s="51" t="s">
        <v>304</v>
      </c>
      <c r="U58" s="51">
        <f>SUM(U55:U57)</f>
        <v>8000</v>
      </c>
      <c r="V58" s="299"/>
      <c r="W58" s="51"/>
      <c r="X58" s="51"/>
      <c r="Y58" s="23"/>
      <c r="Z58" s="43">
        <f>SUM(Z55:Z57)</f>
        <v>0</v>
      </c>
      <c r="AA58" s="299"/>
      <c r="AB58" s="128" t="s">
        <v>131</v>
      </c>
      <c r="AC58" s="25">
        <f>F58+K58+M58+O58+Q58+S58+Z58</f>
        <v>8000</v>
      </c>
      <c r="AE58" t="s">
        <v>201</v>
      </c>
      <c r="AH58" t="s">
        <v>202</v>
      </c>
    </row>
    <row r="59" spans="1:34" x14ac:dyDescent="0.25">
      <c r="C59" t="s">
        <v>308</v>
      </c>
      <c r="D59">
        <v>0.57999999999999996</v>
      </c>
      <c r="E59" s="13">
        <f>180*2</f>
        <v>360</v>
      </c>
      <c r="F59" s="15">
        <f>$D$59*E59</f>
        <v>208.79999999999998</v>
      </c>
      <c r="G59" s="58"/>
      <c r="H59" s="131"/>
      <c r="I59" s="50"/>
      <c r="J59" s="13"/>
      <c r="K59" s="15">
        <f>$D$59*J59</f>
        <v>0</v>
      </c>
      <c r="L59" s="13"/>
      <c r="M59" s="50">
        <f>$D$59*L59</f>
        <v>0</v>
      </c>
      <c r="N59" s="13">
        <f>O89</f>
        <v>1760</v>
      </c>
      <c r="O59" s="15">
        <f>$D$59*N59</f>
        <v>1020.8</v>
      </c>
      <c r="P59" s="49"/>
      <c r="Q59" s="50">
        <f>$D$59*P59</f>
        <v>0</v>
      </c>
      <c r="R59" s="13">
        <f>N59</f>
        <v>1760</v>
      </c>
      <c r="S59" s="15">
        <f>$D$59*R59</f>
        <v>1020.8</v>
      </c>
      <c r="T59" s="13">
        <f>N59+R59</f>
        <v>3520</v>
      </c>
      <c r="U59" s="50">
        <f>SUM(K59,M59,O59,Q59,S59)</f>
        <v>2041.6</v>
      </c>
      <c r="V59" s="299"/>
      <c r="W59" s="50"/>
      <c r="X59" s="50"/>
      <c r="Y59" s="13">
        <f>180*2</f>
        <v>360</v>
      </c>
      <c r="Z59" s="15">
        <f>$D$59*Y59</f>
        <v>208.79999999999998</v>
      </c>
      <c r="AA59" s="299"/>
      <c r="AB59" s="49"/>
      <c r="AC59" s="15">
        <f>F59+K59+M59+O59+Q59+S59+Z59</f>
        <v>2459.1999999999998</v>
      </c>
      <c r="AE59">
        <f>E59+N59+R59+Y59</f>
        <v>4240</v>
      </c>
      <c r="AH59">
        <f>N61+R61</f>
        <v>16</v>
      </c>
    </row>
    <row r="60" spans="1:34" x14ac:dyDescent="0.25">
      <c r="C60" t="s">
        <v>232</v>
      </c>
      <c r="D60">
        <v>41.25</v>
      </c>
      <c r="E60" s="13"/>
      <c r="F60" s="15"/>
      <c r="G60" s="58"/>
      <c r="H60" s="131"/>
      <c r="I60" s="50"/>
      <c r="J60" s="13"/>
      <c r="K60" s="15"/>
      <c r="L60" s="13"/>
      <c r="M60" s="50"/>
      <c r="N60" s="13">
        <f>N61*2</f>
        <v>16</v>
      </c>
      <c r="O60" s="15">
        <f>D60*N60</f>
        <v>660</v>
      </c>
      <c r="P60" s="49"/>
      <c r="Q60" s="50"/>
      <c r="R60" s="13">
        <f>R61*2</f>
        <v>16</v>
      </c>
      <c r="S60" s="15">
        <f>R60*D60</f>
        <v>660</v>
      </c>
      <c r="T60" s="13">
        <f>N60+R60</f>
        <v>32</v>
      </c>
      <c r="U60" s="50">
        <f>SUM(K60,M60,O60,Q60,S60)</f>
        <v>1320</v>
      </c>
      <c r="V60" s="299"/>
      <c r="W60" s="50"/>
      <c r="X60" s="50"/>
      <c r="Y60" s="13"/>
      <c r="Z60" s="15"/>
      <c r="AA60" s="299"/>
      <c r="AB60" s="49"/>
      <c r="AC60" s="15">
        <f>O60+S60+U60+Z60+M60+K60</f>
        <v>2640</v>
      </c>
    </row>
    <row r="61" spans="1:34" x14ac:dyDescent="0.25">
      <c r="C61" t="s">
        <v>88</v>
      </c>
      <c r="D61">
        <v>80</v>
      </c>
      <c r="E61" s="13"/>
      <c r="F61" s="15"/>
      <c r="G61" s="58"/>
      <c r="H61" s="131"/>
      <c r="I61" s="50"/>
      <c r="J61" s="13"/>
      <c r="K61" s="14"/>
      <c r="L61" s="13"/>
      <c r="M61" s="49"/>
      <c r="N61" s="13">
        <f>4*2</f>
        <v>8</v>
      </c>
      <c r="O61" s="15">
        <f>N61*$D61</f>
        <v>640</v>
      </c>
      <c r="P61" s="49"/>
      <c r="Q61" s="49"/>
      <c r="R61" s="13">
        <f>4*2</f>
        <v>8</v>
      </c>
      <c r="S61" s="15">
        <f>R61*$D61</f>
        <v>640</v>
      </c>
      <c r="T61" s="13">
        <f t="shared" ref="T61:T62" si="47">N61+R61</f>
        <v>16</v>
      </c>
      <c r="U61" s="50">
        <f>SUM(K61,M61,O61,Q61,S61)</f>
        <v>1280</v>
      </c>
      <c r="V61" s="299"/>
      <c r="W61" s="50"/>
      <c r="X61" s="50"/>
      <c r="Y61" s="13"/>
      <c r="Z61" s="14"/>
      <c r="AA61" s="300"/>
      <c r="AB61" s="49"/>
      <c r="AC61" s="15">
        <f>F61+K61+M61+O61+Q61+S61+Z61</f>
        <v>1280</v>
      </c>
    </row>
    <row r="62" spans="1:34" x14ac:dyDescent="0.25">
      <c r="B62" s="2"/>
      <c r="C62" t="s">
        <v>309</v>
      </c>
      <c r="D62">
        <v>1</v>
      </c>
      <c r="E62" s="13"/>
      <c r="F62" s="15"/>
      <c r="G62" s="58"/>
      <c r="H62" s="131"/>
      <c r="I62" s="50"/>
      <c r="J62" s="13"/>
      <c r="K62" s="14"/>
      <c r="L62" s="13"/>
      <c r="M62" s="49"/>
      <c r="N62" s="13">
        <f>O90</f>
        <v>3520</v>
      </c>
      <c r="O62" s="15">
        <f>N62*1</f>
        <v>3520</v>
      </c>
      <c r="P62" s="49"/>
      <c r="Q62" s="49"/>
      <c r="R62" s="13">
        <f t="shared" ref="R62" si="48">N62</f>
        <v>3520</v>
      </c>
      <c r="S62" s="15">
        <f>R62*1</f>
        <v>3520</v>
      </c>
      <c r="T62" s="13">
        <f t="shared" si="47"/>
        <v>7040</v>
      </c>
      <c r="U62" s="50">
        <f>SUM(K62,M62,O62,Q62,S62)</f>
        <v>7040</v>
      </c>
      <c r="V62" s="299"/>
      <c r="W62" s="50"/>
      <c r="X62" s="50"/>
      <c r="Y62" s="13"/>
      <c r="Z62" s="14"/>
      <c r="AA62" s="300"/>
      <c r="AB62" s="49"/>
      <c r="AC62" s="15">
        <f>F62+K62+M62+O62+Q62+S62+Z62</f>
        <v>7040</v>
      </c>
    </row>
    <row r="63" spans="1:34" ht="15.75" thickBot="1" x14ac:dyDescent="0.3">
      <c r="A63" s="2"/>
      <c r="E63" s="23"/>
      <c r="F63" s="43">
        <f>SUM(F59:F62)</f>
        <v>208.79999999999998</v>
      </c>
      <c r="G63" s="58"/>
      <c r="H63" s="288"/>
      <c r="I63" s="51"/>
      <c r="J63" s="23"/>
      <c r="K63" s="43">
        <f>SUM(K59:K62)</f>
        <v>0</v>
      </c>
      <c r="L63" s="23"/>
      <c r="M63" s="51">
        <f>SUM(M59:M62)</f>
        <v>0</v>
      </c>
      <c r="N63" s="23"/>
      <c r="O63" s="43">
        <f>SUM(O59:O62)</f>
        <v>5840.8</v>
      </c>
      <c r="P63" s="62"/>
      <c r="Q63" s="51">
        <f>SUM(Q59:Q62)</f>
        <v>0</v>
      </c>
      <c r="R63" s="23"/>
      <c r="S63" s="43">
        <f>SUM(S59:S62)</f>
        <v>5840.8</v>
      </c>
      <c r="T63" s="51"/>
      <c r="U63" s="51">
        <f>SUM(U59:U62)</f>
        <v>11681.6</v>
      </c>
      <c r="V63" s="299"/>
      <c r="W63" s="51"/>
      <c r="X63" s="51"/>
      <c r="Y63" s="23"/>
      <c r="Z63" s="43">
        <f>SUM(Z59:Z62)</f>
        <v>208.79999999999998</v>
      </c>
      <c r="AA63" s="299"/>
      <c r="AB63" s="128" t="s">
        <v>20</v>
      </c>
      <c r="AC63" s="25">
        <f>F63+K63+M63+O63+Q63+S63+Z63</f>
        <v>12099.2</v>
      </c>
    </row>
    <row r="64" spans="1:34" x14ac:dyDescent="0.25">
      <c r="G64" s="57"/>
      <c r="J64" s="94" t="s">
        <v>85</v>
      </c>
      <c r="K64" s="94" t="s">
        <v>85</v>
      </c>
      <c r="L64" s="94" t="s">
        <v>85</v>
      </c>
      <c r="M64" s="94" t="s">
        <v>85</v>
      </c>
      <c r="N64" s="94" t="s">
        <v>85</v>
      </c>
      <c r="O64" s="94" t="s">
        <v>85</v>
      </c>
      <c r="P64" s="94" t="s">
        <v>85</v>
      </c>
      <c r="Q64" s="94" t="s">
        <v>85</v>
      </c>
      <c r="R64" s="94" t="s">
        <v>85</v>
      </c>
      <c r="S64" s="94" t="s">
        <v>85</v>
      </c>
      <c r="T64" t="s">
        <v>98</v>
      </c>
      <c r="V64" s="57"/>
      <c r="AA64" s="57"/>
    </row>
    <row r="65" spans="6:30" x14ac:dyDescent="0.25">
      <c r="F65" s="44">
        <f>F35+F40+F54+F58+F63</f>
        <v>19693.700376923076</v>
      </c>
      <c r="G65" s="58"/>
      <c r="H65" s="44"/>
      <c r="I65" s="44"/>
      <c r="K65" s="44">
        <f>K35+K40+K54+K58+K63</f>
        <v>53236.589354799995</v>
      </c>
      <c r="M65" s="44">
        <f>M35+M40+M54+M58+M63</f>
        <v>15116.4546656</v>
      </c>
      <c r="N65" t="s">
        <v>87</v>
      </c>
      <c r="O65" s="44">
        <f>O35+O40+O54+O58+O63</f>
        <v>31550.650822200001</v>
      </c>
      <c r="Q65" s="44">
        <f>Q35+Q40+Q54+Q58+Q63</f>
        <v>10212.23427046154</v>
      </c>
      <c r="R65" s="44"/>
      <c r="S65" s="44">
        <f>S35+S40+S54+S58+S63</f>
        <v>44129.222191546163</v>
      </c>
      <c r="T65" s="44"/>
      <c r="U65" s="44">
        <f>U35+U40+U54+U58+U63</f>
        <v>154445.15130460772</v>
      </c>
      <c r="V65" s="58"/>
      <c r="W65" s="44"/>
      <c r="X65" s="44"/>
      <c r="Z65" s="44">
        <f>Z35+Z40+Z54+Z58+Z63</f>
        <v>4460.7375796555007</v>
      </c>
      <c r="AA65" s="58"/>
    </row>
    <row r="66" spans="6:30" x14ac:dyDescent="0.25">
      <c r="G66" s="57"/>
      <c r="N66" t="s">
        <v>92</v>
      </c>
      <c r="O66" s="45">
        <f>O65/5</f>
        <v>6310.13016444</v>
      </c>
      <c r="R66" t="s">
        <v>92</v>
      </c>
      <c r="S66" s="45">
        <f>S65/5</f>
        <v>8825.8444383092319</v>
      </c>
      <c r="V66" s="57"/>
      <c r="AB66" t="str">
        <f>A8</f>
        <v>Activity 1</v>
      </c>
    </row>
    <row r="67" spans="6:30" x14ac:dyDescent="0.25">
      <c r="G67" s="57"/>
      <c r="J67" t="s">
        <v>91</v>
      </c>
      <c r="K67" s="44"/>
      <c r="V67" s="57"/>
      <c r="X67" s="44"/>
      <c r="AB67" s="4" t="s">
        <v>16</v>
      </c>
      <c r="AC67" s="5">
        <f>AC35+AC40+AC54+AC58+AC63</f>
        <v>178399.58926118628</v>
      </c>
    </row>
    <row r="68" spans="6:30" x14ac:dyDescent="0.25">
      <c r="G68" s="57"/>
      <c r="P68" t="s">
        <v>172</v>
      </c>
      <c r="V68" s="57"/>
      <c r="AB68" s="4" t="s">
        <v>65</v>
      </c>
      <c r="AC68" s="5">
        <f>SUM(AC67)*0.63</f>
        <v>112391.74123454736</v>
      </c>
      <c r="AD68" t="s">
        <v>66</v>
      </c>
    </row>
    <row r="69" spans="6:30" x14ac:dyDescent="0.25">
      <c r="G69" s="57"/>
      <c r="P69" t="s">
        <v>170</v>
      </c>
      <c r="U69" s="44"/>
      <c r="V69" s="57"/>
      <c r="AB69" s="4"/>
      <c r="AC69" s="5"/>
    </row>
    <row r="70" spans="6:30" x14ac:dyDescent="0.25">
      <c r="G70" s="57"/>
      <c r="P70" t="s">
        <v>171</v>
      </c>
      <c r="V70" s="57"/>
    </row>
    <row r="71" spans="6:30" x14ac:dyDescent="0.25">
      <c r="G71" s="57"/>
      <c r="P71" t="s">
        <v>173</v>
      </c>
      <c r="V71" s="57"/>
    </row>
    <row r="72" spans="6:30" x14ac:dyDescent="0.25">
      <c r="G72" s="57"/>
      <c r="V72" s="57"/>
    </row>
    <row r="73" spans="6:30" x14ac:dyDescent="0.25">
      <c r="G73" s="57"/>
      <c r="V73" s="57"/>
    </row>
    <row r="74" spans="6:30" x14ac:dyDescent="0.25">
      <c r="G74" s="57"/>
      <c r="N74" t="s">
        <v>297</v>
      </c>
      <c r="R74" t="s">
        <v>174</v>
      </c>
      <c r="V74" s="57"/>
    </row>
    <row r="75" spans="6:30" x14ac:dyDescent="0.25">
      <c r="R75" t="s">
        <v>175</v>
      </c>
    </row>
    <row r="76" spans="6:30" x14ac:dyDescent="0.25">
      <c r="N76" t="s">
        <v>298</v>
      </c>
      <c r="R76" t="s">
        <v>176</v>
      </c>
    </row>
    <row r="77" spans="6:30" x14ac:dyDescent="0.25">
      <c r="N77" t="s">
        <v>300</v>
      </c>
      <c r="R77" t="s">
        <v>177</v>
      </c>
    </row>
    <row r="78" spans="6:30" x14ac:dyDescent="0.25">
      <c r="N78" t="s">
        <v>301</v>
      </c>
      <c r="R78" t="s">
        <v>178</v>
      </c>
    </row>
    <row r="79" spans="6:30" x14ac:dyDescent="0.25">
      <c r="N79" t="s">
        <v>299</v>
      </c>
    </row>
    <row r="80" spans="6:30" x14ac:dyDescent="0.25">
      <c r="N80" t="s">
        <v>302</v>
      </c>
    </row>
    <row r="81" spans="14:16" x14ac:dyDescent="0.25">
      <c r="N81" t="s">
        <v>303</v>
      </c>
    </row>
    <row r="82" spans="14:16" x14ac:dyDescent="0.25">
      <c r="O82" t="s">
        <v>84</v>
      </c>
    </row>
    <row r="83" spans="14:16" x14ac:dyDescent="0.25">
      <c r="N83" t="s">
        <v>86</v>
      </c>
      <c r="O83">
        <v>130</v>
      </c>
    </row>
    <row r="84" spans="14:16" x14ac:dyDescent="0.25">
      <c r="O84">
        <v>170</v>
      </c>
    </row>
    <row r="85" spans="14:16" x14ac:dyDescent="0.25">
      <c r="O85">
        <v>390</v>
      </c>
    </row>
    <row r="86" spans="14:16" x14ac:dyDescent="0.25">
      <c r="O86">
        <v>150</v>
      </c>
    </row>
    <row r="87" spans="14:16" x14ac:dyDescent="0.25">
      <c r="O87">
        <v>40</v>
      </c>
    </row>
    <row r="88" spans="14:16" x14ac:dyDescent="0.25">
      <c r="N88" t="s">
        <v>87</v>
      </c>
      <c r="O88">
        <f>SUM(O83:O87)</f>
        <v>880</v>
      </c>
    </row>
    <row r="89" spans="14:16" x14ac:dyDescent="0.25">
      <c r="N89" t="s">
        <v>310</v>
      </c>
      <c r="O89">
        <f>O88*2</f>
        <v>1760</v>
      </c>
      <c r="P89" t="s">
        <v>307</v>
      </c>
    </row>
    <row r="90" spans="14:16" x14ac:dyDescent="0.25">
      <c r="N90" t="s">
        <v>252</v>
      </c>
      <c r="O90">
        <f>O88*4</f>
        <v>3520</v>
      </c>
      <c r="P90" t="s">
        <v>305</v>
      </c>
    </row>
    <row r="92" spans="14:16" x14ac:dyDescent="0.25">
      <c r="N92" t="s">
        <v>93</v>
      </c>
      <c r="P92" t="s">
        <v>94</v>
      </c>
    </row>
    <row r="96" spans="14:16" x14ac:dyDescent="0.25">
      <c r="N96" t="s">
        <v>89</v>
      </c>
    </row>
    <row r="97" spans="14:15" x14ac:dyDescent="0.25">
      <c r="N97" t="s">
        <v>90</v>
      </c>
    </row>
    <row r="98" spans="14:15" x14ac:dyDescent="0.25">
      <c r="N98">
        <f>51*(4*5)+0.4*O90</f>
        <v>2428</v>
      </c>
      <c r="O98" t="s">
        <v>306</v>
      </c>
    </row>
    <row r="99" spans="14:15" x14ac:dyDescent="0.25">
      <c r="N99" t="s">
        <v>317</v>
      </c>
    </row>
    <row r="101" spans="14:15" x14ac:dyDescent="0.25">
      <c r="N101" t="s">
        <v>314</v>
      </c>
    </row>
    <row r="102" spans="14:15" x14ac:dyDescent="0.25">
      <c r="N102" s="2" t="s">
        <v>311</v>
      </c>
    </row>
  </sheetData>
  <mergeCells count="9">
    <mergeCell ref="Y12:Z12"/>
    <mergeCell ref="AB12:AC12"/>
    <mergeCell ref="E12:F12"/>
    <mergeCell ref="J12:K12"/>
    <mergeCell ref="L12:M12"/>
    <mergeCell ref="N12:O12"/>
    <mergeCell ref="P12:Q12"/>
    <mergeCell ref="T12:U12"/>
    <mergeCell ref="R12:S12"/>
  </mergeCells>
  <pageMargins left="0.2" right="0.2" top="0.75" bottom="0.75" header="0.3" footer="0.3"/>
  <pageSetup scale="7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3"/>
  <sheetViews>
    <sheetView topLeftCell="B2" zoomScale="55" zoomScaleNormal="55" workbookViewId="0">
      <selection activeCell="M24" activeCellId="1" sqref="M7 M24"/>
    </sheetView>
  </sheetViews>
  <sheetFormatPr defaultColWidth="9.140625" defaultRowHeight="15.75" x14ac:dyDescent="0.25"/>
  <cols>
    <col min="1" max="1" width="12.7109375" style="180" customWidth="1"/>
    <col min="2" max="2" width="18.7109375" style="180" customWidth="1"/>
    <col min="3" max="3" width="14.85546875" style="180" customWidth="1"/>
    <col min="4" max="4" width="13.28515625" style="180" customWidth="1"/>
    <col min="5" max="10" width="16.5703125" style="180" customWidth="1"/>
    <col min="11" max="11" width="28" style="180" customWidth="1"/>
    <col min="12" max="12" width="12.7109375" style="180" customWidth="1"/>
    <col min="13" max="18" width="9.140625" style="180"/>
    <col min="19" max="19" width="13.7109375" style="211" bestFit="1" customWidth="1"/>
    <col min="20" max="20" width="15.140625" style="211" customWidth="1"/>
    <col min="21" max="21" width="22" style="211" bestFit="1" customWidth="1"/>
    <col min="22" max="22" width="13.140625" style="211" bestFit="1" customWidth="1"/>
    <col min="23" max="23" width="15.140625" style="211" customWidth="1"/>
    <col min="24" max="24" width="15.42578125" style="211" customWidth="1"/>
    <col min="25" max="25" width="33.140625" style="211" bestFit="1" customWidth="1"/>
    <col min="26" max="26" width="20.42578125" style="211" bestFit="1" customWidth="1"/>
    <col min="27" max="27" width="20.7109375" style="211" bestFit="1" customWidth="1"/>
    <col min="28" max="28" width="33.140625" style="211" bestFit="1" customWidth="1"/>
    <col min="29" max="29" width="18.85546875" style="211" customWidth="1"/>
    <col min="30" max="30" width="21.7109375" style="211" bestFit="1" customWidth="1"/>
    <col min="31" max="16384" width="9.140625" style="180"/>
  </cols>
  <sheetData>
    <row r="2" spans="1:30" x14ac:dyDescent="0.25">
      <c r="A2" s="2" t="s">
        <v>0</v>
      </c>
      <c r="B2" s="180" t="s">
        <v>57</v>
      </c>
      <c r="E2" s="180" t="s">
        <v>59</v>
      </c>
      <c r="F2" s="180" t="s">
        <v>60</v>
      </c>
    </row>
    <row r="3" spans="1:30" x14ac:dyDescent="0.25">
      <c r="A3" s="2" t="s">
        <v>164</v>
      </c>
      <c r="D3" s="180" t="s">
        <v>58</v>
      </c>
      <c r="E3" s="181">
        <v>44013</v>
      </c>
      <c r="F3" s="181">
        <v>44742</v>
      </c>
    </row>
    <row r="4" spans="1:30" x14ac:dyDescent="0.25">
      <c r="A4" s="2" t="s">
        <v>17</v>
      </c>
      <c r="B4" s="182">
        <v>43529</v>
      </c>
    </row>
    <row r="5" spans="1:30" x14ac:dyDescent="0.25">
      <c r="A5" s="2"/>
      <c r="B5" s="182"/>
    </row>
    <row r="6" spans="1:30" x14ac:dyDescent="0.25">
      <c r="A6" s="2" t="s">
        <v>114</v>
      </c>
      <c r="B6" s="52" t="s">
        <v>224</v>
      </c>
    </row>
    <row r="7" spans="1:30" x14ac:dyDescent="0.25">
      <c r="A7" s="2"/>
      <c r="B7" s="182"/>
    </row>
    <row r="8" spans="1:30" ht="16.5" thickBot="1" x14ac:dyDescent="0.3">
      <c r="G8" s="180" t="s">
        <v>85</v>
      </c>
      <c r="H8" s="180" t="s">
        <v>85</v>
      </c>
      <c r="K8" s="180" t="str">
        <f>A6</f>
        <v>Activity 2</v>
      </c>
      <c r="T8" s="214" t="s">
        <v>229</v>
      </c>
      <c r="U8" s="214"/>
      <c r="Y8" s="216" t="s">
        <v>230</v>
      </c>
      <c r="AB8" s="217" t="s">
        <v>231</v>
      </c>
    </row>
    <row r="9" spans="1:30" ht="32.25" thickBot="1" x14ac:dyDescent="0.3">
      <c r="D9" s="2" t="s">
        <v>5</v>
      </c>
      <c r="E9" s="329" t="s">
        <v>100</v>
      </c>
      <c r="F9" s="330"/>
      <c r="G9" s="329" t="s">
        <v>101</v>
      </c>
      <c r="H9" s="330"/>
      <c r="I9" s="329" t="s">
        <v>102</v>
      </c>
      <c r="J9" s="330"/>
      <c r="K9" s="331" t="s">
        <v>11</v>
      </c>
      <c r="L9" s="330"/>
      <c r="P9" s="180" t="s">
        <v>190</v>
      </c>
      <c r="S9" s="229"/>
      <c r="T9" s="231" t="s">
        <v>219</v>
      </c>
      <c r="U9" s="232" t="s">
        <v>225</v>
      </c>
      <c r="V9" s="222" t="s">
        <v>218</v>
      </c>
      <c r="W9" s="222" t="s">
        <v>220</v>
      </c>
      <c r="X9" s="222" t="s">
        <v>221</v>
      </c>
      <c r="Y9" s="233" t="s">
        <v>226</v>
      </c>
      <c r="Z9" s="223" t="s">
        <v>227</v>
      </c>
      <c r="AA9" s="223" t="s">
        <v>210</v>
      </c>
      <c r="AB9" s="234" t="s">
        <v>222</v>
      </c>
      <c r="AC9" s="224" t="s">
        <v>228</v>
      </c>
      <c r="AD9" s="225" t="s">
        <v>223</v>
      </c>
    </row>
    <row r="10" spans="1:30" ht="16.5" thickBot="1" x14ac:dyDescent="0.3">
      <c r="A10" s="2" t="s">
        <v>2</v>
      </c>
      <c r="D10" s="18" t="s">
        <v>8</v>
      </c>
      <c r="E10" s="19" t="s">
        <v>6</v>
      </c>
      <c r="F10" s="20" t="s">
        <v>7</v>
      </c>
      <c r="G10" s="19" t="s">
        <v>6</v>
      </c>
      <c r="H10" s="20" t="s">
        <v>7</v>
      </c>
      <c r="I10" s="19" t="s">
        <v>6</v>
      </c>
      <c r="J10" s="20" t="s">
        <v>7</v>
      </c>
      <c r="K10" s="21" t="s">
        <v>6</v>
      </c>
      <c r="L10" s="22" t="s">
        <v>7</v>
      </c>
      <c r="P10" s="183">
        <f>L11+L17</f>
        <v>11255.148153846154</v>
      </c>
      <c r="S10" s="230" t="s">
        <v>63</v>
      </c>
      <c r="T10" s="226">
        <f>W10/2080</f>
        <v>41.379221153846153</v>
      </c>
      <c r="U10" s="218">
        <f>T10*V10</f>
        <v>14.896519615384614</v>
      </c>
      <c r="V10" s="219">
        <v>0.36</v>
      </c>
      <c r="W10" s="218">
        <v>86068.78</v>
      </c>
      <c r="X10" s="218">
        <f>W10*V10</f>
        <v>30984.7608</v>
      </c>
      <c r="Y10" s="220">
        <f>Z10/2080</f>
        <v>42.620597788461538</v>
      </c>
      <c r="Z10" s="220">
        <f>W10*3%+86068.78</f>
        <v>88650.843399999998</v>
      </c>
      <c r="AA10" s="220">
        <f>Z10*V10</f>
        <v>31914.303623999996</v>
      </c>
      <c r="AB10" s="221">
        <f>AC10/2080</f>
        <v>43.899214087499999</v>
      </c>
      <c r="AC10" s="221">
        <f>Z10*3%+88650.84</f>
        <v>91310.365301999991</v>
      </c>
      <c r="AD10" s="221">
        <f>AC10*V10</f>
        <v>32871.731508719997</v>
      </c>
    </row>
    <row r="11" spans="1:30" ht="16.5" thickTop="1" x14ac:dyDescent="0.25">
      <c r="B11" s="180" t="s">
        <v>63</v>
      </c>
      <c r="C11" s="184" t="s">
        <v>182</v>
      </c>
      <c r="D11" s="185">
        <f>T10</f>
        <v>41.379221153846153</v>
      </c>
      <c r="E11" s="8">
        <v>100</v>
      </c>
      <c r="F11" s="9">
        <f t="shared" ref="F11:H13" si="0">E11*$D11</f>
        <v>4137.9221153846156</v>
      </c>
      <c r="G11" s="109">
        <v>80</v>
      </c>
      <c r="H11" s="112">
        <f t="shared" si="0"/>
        <v>3310.3376923076921</v>
      </c>
      <c r="I11" s="109">
        <v>20</v>
      </c>
      <c r="J11" s="9">
        <f t="shared" ref="J11:J12" si="1">I11*$D11</f>
        <v>827.58442307692303</v>
      </c>
      <c r="K11" s="186">
        <f t="shared" ref="K11:L13" si="2">E11+G11+I11</f>
        <v>200</v>
      </c>
      <c r="L11" s="187">
        <f t="shared" si="2"/>
        <v>8275.8442307692312</v>
      </c>
      <c r="P11" s="183">
        <f>L12+L18</f>
        <v>8162.3850000000002</v>
      </c>
      <c r="S11" s="230" t="s">
        <v>64</v>
      </c>
      <c r="T11" s="227">
        <v>21.01</v>
      </c>
      <c r="U11" s="214">
        <f>T11*V11</f>
        <v>6.1979500000000005</v>
      </c>
      <c r="V11" s="215">
        <v>0.29499999999999998</v>
      </c>
      <c r="W11" s="214">
        <f>T11*2080</f>
        <v>43700.800000000003</v>
      </c>
      <c r="X11" s="214">
        <f>W11*V11</f>
        <v>12891.736000000001</v>
      </c>
      <c r="Y11" s="216">
        <f>T11*3%+T11</f>
        <v>21.6403</v>
      </c>
      <c r="Z11" s="216">
        <f>Y11*2080</f>
        <v>45011.824000000001</v>
      </c>
      <c r="AA11" s="216">
        <f>Z11*V11</f>
        <v>13278.488079999999</v>
      </c>
      <c r="AB11" s="217">
        <f>Y11*3%+Y11</f>
        <v>22.289508999999999</v>
      </c>
      <c r="AC11" s="217">
        <f>AB11*2080</f>
        <v>46362.178719999996</v>
      </c>
      <c r="AD11" s="217">
        <f>AC11*V11</f>
        <v>13676.842722399999</v>
      </c>
    </row>
    <row r="12" spans="1:30" x14ac:dyDescent="0.25">
      <c r="B12" s="180" t="s">
        <v>64</v>
      </c>
      <c r="C12" s="184" t="s">
        <v>18</v>
      </c>
      <c r="D12" s="188">
        <f>T11</f>
        <v>21.01</v>
      </c>
      <c r="E12" s="8">
        <v>200</v>
      </c>
      <c r="F12" s="9">
        <f t="shared" si="0"/>
        <v>4202</v>
      </c>
      <c r="G12" s="109">
        <v>80</v>
      </c>
      <c r="H12" s="112">
        <f t="shared" si="0"/>
        <v>1680.8000000000002</v>
      </c>
      <c r="I12" s="109">
        <v>20</v>
      </c>
      <c r="J12" s="9">
        <f t="shared" si="1"/>
        <v>420.20000000000005</v>
      </c>
      <c r="K12" s="186">
        <f t="shared" si="2"/>
        <v>300</v>
      </c>
      <c r="L12" s="187">
        <f t="shared" si="2"/>
        <v>6303</v>
      </c>
      <c r="P12" s="183">
        <f>L13+L19</f>
        <v>552.44699999999989</v>
      </c>
      <c r="S12" s="230" t="s">
        <v>181</v>
      </c>
      <c r="T12" s="228">
        <f>D13*3%+D13</f>
        <v>21.969899999999999</v>
      </c>
      <c r="U12" s="214">
        <f>T12*V12</f>
        <v>6.4811204999999994</v>
      </c>
      <c r="V12" s="215">
        <v>0.29499999999999998</v>
      </c>
      <c r="W12" s="213">
        <f>T12*1820</f>
        <v>39985.218000000001</v>
      </c>
      <c r="X12" s="213">
        <f>W12*V12</f>
        <v>11795.63931</v>
      </c>
      <c r="Y12" s="216">
        <f>T12*3%+T12</f>
        <v>22.628996999999998</v>
      </c>
      <c r="Z12" s="216">
        <f>Y12*1820</f>
        <v>41184.774539999999</v>
      </c>
      <c r="AA12" s="216">
        <f>Z12*V12</f>
        <v>12149.508489299998</v>
      </c>
      <c r="AB12" s="217">
        <f>Y12*3%+Y12</f>
        <v>23.307866909999998</v>
      </c>
      <c r="AC12" s="217">
        <f>AB12*1820</f>
        <v>42420.317776199998</v>
      </c>
      <c r="AD12" s="217">
        <f>AC12*V12</f>
        <v>12513.993743978999</v>
      </c>
    </row>
    <row r="13" spans="1:30" x14ac:dyDescent="0.25">
      <c r="B13" s="180" t="s">
        <v>181</v>
      </c>
      <c r="C13" s="184" t="s">
        <v>183</v>
      </c>
      <c r="D13" s="188">
        <v>21.33</v>
      </c>
      <c r="E13" s="8">
        <v>5</v>
      </c>
      <c r="F13" s="9">
        <f>E13*$D13</f>
        <v>106.64999999999999</v>
      </c>
      <c r="G13" s="109">
        <v>10</v>
      </c>
      <c r="H13" s="112">
        <f t="shared" si="0"/>
        <v>213.29999999999998</v>
      </c>
      <c r="I13" s="109">
        <v>5</v>
      </c>
      <c r="J13" s="9">
        <f>I13*$D13</f>
        <v>106.64999999999999</v>
      </c>
      <c r="K13" s="186">
        <f t="shared" si="2"/>
        <v>20</v>
      </c>
      <c r="L13" s="187">
        <f t="shared" si="2"/>
        <v>426.59999999999997</v>
      </c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</row>
    <row r="14" spans="1:30" x14ac:dyDescent="0.25">
      <c r="D14" s="185"/>
      <c r="E14" s="8"/>
      <c r="F14" s="9"/>
      <c r="G14" s="8"/>
      <c r="H14" s="9"/>
      <c r="I14" s="8"/>
      <c r="J14" s="9"/>
      <c r="K14" s="186"/>
      <c r="L14" s="187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</row>
    <row r="15" spans="1:30" x14ac:dyDescent="0.25">
      <c r="D15" s="185"/>
      <c r="E15" s="8"/>
      <c r="F15" s="189"/>
      <c r="G15" s="8"/>
      <c r="H15" s="189"/>
      <c r="I15" s="8"/>
      <c r="J15" s="189"/>
      <c r="K15" s="186" t="s">
        <v>186</v>
      </c>
      <c r="L15" s="187">
        <f>SUM(L11:L13)</f>
        <v>15005.444230769232</v>
      </c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</row>
    <row r="16" spans="1:30" x14ac:dyDescent="0.25">
      <c r="A16" s="2" t="s">
        <v>4</v>
      </c>
      <c r="D16" s="185"/>
      <c r="E16" s="8"/>
      <c r="F16" s="189"/>
      <c r="G16" s="8"/>
      <c r="H16" s="189"/>
      <c r="I16" s="8"/>
      <c r="J16" s="189"/>
      <c r="K16" s="186"/>
      <c r="L16" s="190"/>
    </row>
    <row r="17" spans="1:30" ht="18.75" x14ac:dyDescent="0.3">
      <c r="B17" s="180" t="s">
        <v>63</v>
      </c>
      <c r="D17" s="6">
        <v>0.36</v>
      </c>
      <c r="E17" s="8"/>
      <c r="F17" s="9">
        <f>$D17*F11</f>
        <v>1489.6519615384616</v>
      </c>
      <c r="G17" s="8"/>
      <c r="H17" s="9">
        <f>$D17*H11</f>
        <v>1191.7215692307691</v>
      </c>
      <c r="I17" s="8"/>
      <c r="J17" s="9">
        <f>$D17*J11</f>
        <v>297.93039230769227</v>
      </c>
      <c r="K17" s="186"/>
      <c r="L17" s="327">
        <f t="shared" ref="L17:L19" si="3">F17+H17+J17</f>
        <v>2979.3039230769227</v>
      </c>
    </row>
    <row r="18" spans="1:30" x14ac:dyDescent="0.25">
      <c r="B18" s="180" t="s">
        <v>64</v>
      </c>
      <c r="D18" s="6">
        <v>0.29499999999999998</v>
      </c>
      <c r="E18" s="8"/>
      <c r="F18" s="9">
        <f>$D18*F12</f>
        <v>1239.5899999999999</v>
      </c>
      <c r="G18" s="8"/>
      <c r="H18" s="9">
        <f>$D18*H12</f>
        <v>495.83600000000001</v>
      </c>
      <c r="I18" s="8"/>
      <c r="J18" s="9">
        <f>$D18*J12</f>
        <v>123.959</v>
      </c>
      <c r="K18" s="186"/>
      <c r="L18" s="187">
        <f t="shared" si="3"/>
        <v>1859.385</v>
      </c>
    </row>
    <row r="19" spans="1:30" x14ac:dyDescent="0.25">
      <c r="B19" s="180" t="s">
        <v>181</v>
      </c>
      <c r="D19" s="6">
        <v>0.29499999999999998</v>
      </c>
      <c r="E19" s="8"/>
      <c r="F19" s="9">
        <f>$D19*F13</f>
        <v>31.461749999999995</v>
      </c>
      <c r="G19" s="8"/>
      <c r="H19" s="9">
        <f>$D19*H13</f>
        <v>62.92349999999999</v>
      </c>
      <c r="I19" s="8"/>
      <c r="J19" s="9">
        <f>$D19*J13</f>
        <v>31.461749999999995</v>
      </c>
      <c r="K19" s="186"/>
      <c r="L19" s="187">
        <f t="shared" si="3"/>
        <v>125.84699999999998</v>
      </c>
    </row>
    <row r="20" spans="1:30" x14ac:dyDescent="0.25">
      <c r="D20" s="6"/>
      <c r="E20" s="8"/>
      <c r="F20" s="9"/>
      <c r="G20" s="8"/>
      <c r="H20" s="9"/>
      <c r="I20" s="8"/>
      <c r="J20" s="9"/>
      <c r="K20" s="186"/>
      <c r="L20" s="187"/>
    </row>
    <row r="21" spans="1:30" x14ac:dyDescent="0.25">
      <c r="E21" s="186"/>
      <c r="F21" s="190"/>
      <c r="G21" s="186"/>
      <c r="H21" s="190"/>
      <c r="I21" s="186"/>
      <c r="J21" s="190"/>
      <c r="K21" s="16" t="s">
        <v>13</v>
      </c>
      <c r="L21" s="17">
        <f>SUM(L17:L20)</f>
        <v>4964.5359230769227</v>
      </c>
    </row>
    <row r="22" spans="1:30" ht="16.5" thickBot="1" x14ac:dyDescent="0.3">
      <c r="E22" s="191"/>
      <c r="F22" s="192">
        <f>SUM(F11:F21)</f>
        <v>11207.275826923078</v>
      </c>
      <c r="G22" s="191"/>
      <c r="H22" s="192">
        <f>SUM(H11:H21)</f>
        <v>6954.9187615384617</v>
      </c>
      <c r="I22" s="191"/>
      <c r="J22" s="192">
        <f>SUM(J11:J21)</f>
        <v>1807.7855653846154</v>
      </c>
      <c r="K22" s="24" t="s">
        <v>14</v>
      </c>
      <c r="L22" s="25">
        <f>L21+L15</f>
        <v>19969.980153846154</v>
      </c>
    </row>
    <row r="23" spans="1:30" ht="16.5" thickBot="1" x14ac:dyDescent="0.3">
      <c r="A23" s="2"/>
      <c r="B23" s="182"/>
    </row>
    <row r="24" spans="1:30" x14ac:dyDescent="0.25">
      <c r="A24" s="2" t="s">
        <v>127</v>
      </c>
      <c r="E24" s="193"/>
      <c r="F24" s="194"/>
      <c r="G24" s="195"/>
      <c r="H24" s="196"/>
      <c r="I24" s="193"/>
      <c r="J24" s="197"/>
      <c r="K24" s="113"/>
      <c r="L24" s="114"/>
    </row>
    <row r="25" spans="1:30" x14ac:dyDescent="0.25">
      <c r="B25" s="180" t="s">
        <v>179</v>
      </c>
      <c r="E25" s="198"/>
      <c r="F25" s="199">
        <v>5000</v>
      </c>
      <c r="G25" s="200"/>
      <c r="H25" s="201">
        <v>7000</v>
      </c>
      <c r="I25" s="198"/>
      <c r="J25" s="199">
        <v>2000</v>
      </c>
      <c r="K25" s="59"/>
      <c r="L25" s="60">
        <f>SUM(F25:J25)</f>
        <v>14000</v>
      </c>
    </row>
    <row r="26" spans="1:30" x14ac:dyDescent="0.25">
      <c r="B26" s="180" t="s">
        <v>180</v>
      </c>
      <c r="E26" s="198"/>
      <c r="F26" s="199">
        <v>10000</v>
      </c>
      <c r="G26" s="200"/>
      <c r="H26" s="201">
        <v>28000</v>
      </c>
      <c r="I26" s="198"/>
      <c r="J26" s="199">
        <v>7000</v>
      </c>
      <c r="K26" s="59"/>
      <c r="L26" s="60">
        <f>SUM(F26:J26)</f>
        <v>45000</v>
      </c>
    </row>
    <row r="27" spans="1:30" x14ac:dyDescent="0.25">
      <c r="E27" s="198"/>
      <c r="F27" s="199"/>
      <c r="G27" s="200"/>
      <c r="H27" s="201"/>
      <c r="I27" s="198"/>
      <c r="J27" s="199"/>
      <c r="K27" s="59"/>
      <c r="L27" s="60"/>
    </row>
    <row r="28" spans="1:30" ht="16.5" thickBot="1" x14ac:dyDescent="0.3">
      <c r="E28" s="191"/>
      <c r="F28" s="192">
        <f>SUM(F25:F27)</f>
        <v>15000</v>
      </c>
      <c r="G28" s="202"/>
      <c r="H28" s="192">
        <f>SUM(H24:H27)</f>
        <v>35000</v>
      </c>
      <c r="I28" s="191"/>
      <c r="J28" s="192">
        <f>SUM(J24:J27)</f>
        <v>9000</v>
      </c>
      <c r="K28" s="24" t="s">
        <v>128</v>
      </c>
      <c r="L28" s="25">
        <f>F28+H28+J28</f>
        <v>59000</v>
      </c>
    </row>
    <row r="29" spans="1:30" s="184" customFormat="1" ht="16.5" thickBot="1" x14ac:dyDescent="0.3">
      <c r="E29" s="200"/>
      <c r="F29" s="199"/>
      <c r="G29" s="200"/>
      <c r="H29" s="201"/>
      <c r="I29" s="198"/>
      <c r="J29" s="199"/>
      <c r="K29" s="59"/>
      <c r="L29" s="60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</row>
    <row r="30" spans="1:30" x14ac:dyDescent="0.25">
      <c r="A30" s="115" t="s">
        <v>126</v>
      </c>
      <c r="B30" s="194"/>
      <c r="C30" s="194"/>
      <c r="D30" s="194"/>
      <c r="E30" s="194"/>
      <c r="F30" s="203">
        <v>200</v>
      </c>
      <c r="G30" s="194"/>
      <c r="H30" s="194"/>
      <c r="I30" s="204"/>
      <c r="J30" s="205"/>
      <c r="K30" s="204"/>
      <c r="L30" s="203"/>
    </row>
    <row r="31" spans="1:30" x14ac:dyDescent="0.25">
      <c r="A31" s="198"/>
      <c r="B31" s="206" t="s">
        <v>184</v>
      </c>
      <c r="C31" s="206"/>
      <c r="D31" s="206"/>
      <c r="E31" s="206"/>
      <c r="F31" s="187"/>
      <c r="G31" s="206"/>
      <c r="H31" s="187">
        <v>200</v>
      </c>
      <c r="I31" s="186"/>
      <c r="J31" s="207">
        <v>200</v>
      </c>
      <c r="K31" s="186"/>
      <c r="L31" s="187"/>
    </row>
    <row r="32" spans="1:30" x14ac:dyDescent="0.25">
      <c r="A32" s="186"/>
      <c r="B32" s="206" t="s">
        <v>185</v>
      </c>
      <c r="C32" s="206"/>
      <c r="D32" s="206"/>
      <c r="E32" s="186"/>
      <c r="F32" s="187"/>
      <c r="G32" s="206"/>
      <c r="H32" s="187"/>
      <c r="I32" s="186"/>
      <c r="J32" s="190"/>
      <c r="K32" s="186"/>
      <c r="L32" s="187"/>
    </row>
    <row r="33" spans="1:13" ht="16.5" thickBot="1" x14ac:dyDescent="0.3">
      <c r="A33" s="208"/>
      <c r="B33" s="209"/>
      <c r="C33" s="209"/>
      <c r="D33" s="210"/>
      <c r="E33" s="191"/>
      <c r="F33" s="192">
        <f>SUM(F31:F32)</f>
        <v>0</v>
      </c>
      <c r="G33" s="191"/>
      <c r="H33" s="192">
        <f>SUM(H31:H32)</f>
        <v>200</v>
      </c>
      <c r="I33" s="191"/>
      <c r="J33" s="192">
        <f>SUM(J31:J32)</f>
        <v>200</v>
      </c>
      <c r="K33" s="24" t="s">
        <v>15</v>
      </c>
      <c r="L33" s="25">
        <f>SUM(F33,H33,J33)</f>
        <v>400</v>
      </c>
    </row>
    <row r="34" spans="1:13" x14ac:dyDescent="0.25">
      <c r="A34" s="2" t="s">
        <v>129</v>
      </c>
      <c r="C34" s="180" t="s">
        <v>84</v>
      </c>
      <c r="E34" s="186"/>
      <c r="F34" s="187">
        <f>$D$34*E34</f>
        <v>0</v>
      </c>
      <c r="G34" s="186"/>
      <c r="H34" s="187">
        <f>$D$34*G34</f>
        <v>0</v>
      </c>
      <c r="I34" s="186"/>
      <c r="J34" s="187">
        <f>$D$34*I34</f>
        <v>0</v>
      </c>
      <c r="K34" s="186"/>
      <c r="L34" s="187"/>
    </row>
    <row r="35" spans="1:13" x14ac:dyDescent="0.25">
      <c r="C35" s="180" t="s">
        <v>88</v>
      </c>
      <c r="E35" s="186"/>
      <c r="F35" s="187"/>
      <c r="G35" s="186"/>
      <c r="H35" s="190"/>
      <c r="I35" s="186"/>
      <c r="J35" s="190"/>
      <c r="K35" s="186"/>
      <c r="L35" s="187"/>
    </row>
    <row r="36" spans="1:13" x14ac:dyDescent="0.25">
      <c r="E36" s="186"/>
      <c r="F36" s="187"/>
      <c r="G36" s="186"/>
      <c r="H36" s="190"/>
      <c r="I36" s="186"/>
      <c r="J36" s="190"/>
      <c r="K36" s="186"/>
      <c r="L36" s="187"/>
    </row>
    <row r="37" spans="1:13" ht="16.5" thickBot="1" x14ac:dyDescent="0.3">
      <c r="B37" s="2"/>
      <c r="E37" s="191"/>
      <c r="F37" s="192">
        <f>SUM(F34:F36)</f>
        <v>0</v>
      </c>
      <c r="G37" s="191"/>
      <c r="H37" s="192">
        <f>SUM(H34:H36)</f>
        <v>0</v>
      </c>
      <c r="I37" s="191"/>
      <c r="J37" s="192">
        <f>SUM(J34:J36)</f>
        <v>0</v>
      </c>
      <c r="K37" s="24" t="s">
        <v>20</v>
      </c>
      <c r="L37" s="25">
        <f>SUM(F37,H37,J37)</f>
        <v>0</v>
      </c>
    </row>
    <row r="38" spans="1:13" x14ac:dyDescent="0.25">
      <c r="A38" s="2"/>
    </row>
    <row r="39" spans="1:13" x14ac:dyDescent="0.25">
      <c r="F39" s="183">
        <f>F22+F28+F37</f>
        <v>26207.275826923076</v>
      </c>
      <c r="H39" s="183">
        <f>H22+H28+H33+H37</f>
        <v>42154.918761538458</v>
      </c>
      <c r="J39" s="183">
        <f>J22+J28+J33+J37</f>
        <v>11007.785565384616</v>
      </c>
    </row>
    <row r="40" spans="1:13" x14ac:dyDescent="0.25">
      <c r="K40" s="180" t="str">
        <f>A6</f>
        <v>Activity 2</v>
      </c>
    </row>
    <row r="41" spans="1:13" x14ac:dyDescent="0.25">
      <c r="H41" s="183"/>
      <c r="K41" s="4" t="s">
        <v>16</v>
      </c>
      <c r="L41" s="5">
        <f>SUM(L22,L28,L33)</f>
        <v>79369.980153846147</v>
      </c>
    </row>
    <row r="42" spans="1:13" x14ac:dyDescent="0.25">
      <c r="K42" s="4" t="s">
        <v>203</v>
      </c>
      <c r="L42" s="5">
        <f>L41*0.54</f>
        <v>42859.78928307692</v>
      </c>
      <c r="M42" s="180" t="s">
        <v>204</v>
      </c>
    </row>
    <row r="43" spans="1:13" x14ac:dyDescent="0.25">
      <c r="K43" s="4"/>
      <c r="L43" s="5"/>
    </row>
  </sheetData>
  <mergeCells count="4">
    <mergeCell ref="E9:F9"/>
    <mergeCell ref="G9:H9"/>
    <mergeCell ref="I9:J9"/>
    <mergeCell ref="K9:L9"/>
  </mergeCells>
  <pageMargins left="0.2" right="0.2" top="0.75" bottom="0.75" header="0.3" footer="0.3"/>
  <pageSetup scale="7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5"/>
  <sheetViews>
    <sheetView zoomScale="55" zoomScaleNormal="55" workbookViewId="0">
      <selection activeCell="M24" activeCellId="1" sqref="M7 M24"/>
    </sheetView>
  </sheetViews>
  <sheetFormatPr defaultRowHeight="15" x14ac:dyDescent="0.25"/>
  <cols>
    <col min="1" max="1" width="12.7109375" customWidth="1"/>
    <col min="2" max="2" width="18.7109375" customWidth="1"/>
    <col min="3" max="3" width="14.85546875" customWidth="1"/>
    <col min="4" max="4" width="13.28515625" customWidth="1"/>
    <col min="5" max="10" width="16.5703125" customWidth="1"/>
    <col min="11" max="11" width="28" customWidth="1"/>
    <col min="12" max="12" width="12.7109375" customWidth="1"/>
    <col min="18" max="18" width="14.42578125" bestFit="1" customWidth="1"/>
    <col min="20" max="20" width="14.42578125" bestFit="1" customWidth="1"/>
    <col min="22" max="23" width="15" bestFit="1" customWidth="1"/>
    <col min="24" max="24" width="26.85546875" bestFit="1" customWidth="1"/>
    <col min="25" max="26" width="16" bestFit="1" customWidth="1"/>
    <col min="27" max="27" width="27.42578125" bestFit="1" customWidth="1"/>
    <col min="28" max="29" width="16" bestFit="1" customWidth="1"/>
  </cols>
  <sheetData>
    <row r="2" spans="1:29" x14ac:dyDescent="0.25">
      <c r="A2" s="2" t="s">
        <v>0</v>
      </c>
      <c r="B2" t="s">
        <v>57</v>
      </c>
      <c r="E2" t="s">
        <v>59</v>
      </c>
      <c r="F2" t="s">
        <v>60</v>
      </c>
    </row>
    <row r="3" spans="1:29" x14ac:dyDescent="0.25">
      <c r="A3" s="2" t="s">
        <v>164</v>
      </c>
      <c r="D3" t="s">
        <v>58</v>
      </c>
      <c r="E3" s="42">
        <v>44013</v>
      </c>
      <c r="F3" s="42">
        <v>44742</v>
      </c>
    </row>
    <row r="4" spans="1:29" x14ac:dyDescent="0.25">
      <c r="A4" s="2" t="s">
        <v>17</v>
      </c>
      <c r="B4" s="1">
        <v>43563</v>
      </c>
    </row>
    <row r="5" spans="1:29" ht="15.75" x14ac:dyDescent="0.25">
      <c r="A5" s="2"/>
      <c r="B5" s="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</row>
    <row r="6" spans="1:29" ht="16.5" thickBot="1" x14ac:dyDescent="0.3">
      <c r="A6" s="2" t="s">
        <v>114</v>
      </c>
      <c r="B6" s="52" t="s">
        <v>187</v>
      </c>
      <c r="R6" s="211"/>
      <c r="S6" s="214" t="s">
        <v>229</v>
      </c>
      <c r="T6" s="214"/>
      <c r="U6" s="211"/>
      <c r="V6" s="211"/>
      <c r="W6" s="211"/>
      <c r="X6" s="216" t="s">
        <v>230</v>
      </c>
      <c r="Y6" s="211"/>
      <c r="Z6" s="211"/>
      <c r="AA6" s="217" t="s">
        <v>231</v>
      </c>
      <c r="AB6" s="211"/>
      <c r="AC6" s="211"/>
    </row>
    <row r="7" spans="1:29" ht="48" thickBot="1" x14ac:dyDescent="0.3">
      <c r="A7" s="2"/>
      <c r="B7" s="1"/>
      <c r="R7" s="229"/>
      <c r="S7" s="231" t="s">
        <v>219</v>
      </c>
      <c r="T7" s="232" t="s">
        <v>225</v>
      </c>
      <c r="U7" s="222" t="s">
        <v>218</v>
      </c>
      <c r="V7" s="222" t="s">
        <v>220</v>
      </c>
      <c r="W7" s="222" t="s">
        <v>221</v>
      </c>
      <c r="X7" s="233" t="s">
        <v>226</v>
      </c>
      <c r="Y7" s="223" t="s">
        <v>227</v>
      </c>
      <c r="Z7" s="223" t="s">
        <v>210</v>
      </c>
      <c r="AA7" s="234" t="s">
        <v>222</v>
      </c>
      <c r="AB7" s="224" t="s">
        <v>228</v>
      </c>
      <c r="AC7" s="225" t="s">
        <v>223</v>
      </c>
    </row>
    <row r="8" spans="1:29" ht="16.5" thickBot="1" x14ac:dyDescent="0.3">
      <c r="G8" t="s">
        <v>85</v>
      </c>
      <c r="H8" t="s">
        <v>85</v>
      </c>
      <c r="K8" t="str">
        <f>A6</f>
        <v>Activity 2</v>
      </c>
      <c r="R8" s="230" t="s">
        <v>63</v>
      </c>
      <c r="S8" s="226">
        <f>V8/2080</f>
        <v>41.379221153846153</v>
      </c>
      <c r="T8" s="218">
        <f>S8*U8</f>
        <v>14.896519615384614</v>
      </c>
      <c r="U8" s="219">
        <v>0.36</v>
      </c>
      <c r="V8" s="218">
        <v>86068.78</v>
      </c>
      <c r="W8" s="218">
        <f>V8*U8</f>
        <v>30984.7608</v>
      </c>
      <c r="X8" s="220">
        <f>Y8/2080</f>
        <v>42.620597788461538</v>
      </c>
      <c r="Y8" s="220">
        <f>V8*3%+86068.78</f>
        <v>88650.843399999998</v>
      </c>
      <c r="Z8" s="220">
        <f>Y8*U8</f>
        <v>31914.303623999996</v>
      </c>
      <c r="AA8" s="221">
        <f>AB8/2080</f>
        <v>43.899214087499999</v>
      </c>
      <c r="AB8" s="221">
        <f>Y8*3%+88650.84</f>
        <v>91310.365301999991</v>
      </c>
      <c r="AC8" s="221">
        <f>AB8*U8</f>
        <v>32871.731508719997</v>
      </c>
    </row>
    <row r="9" spans="1:29" ht="16.5" thickBot="1" x14ac:dyDescent="0.3">
      <c r="D9" s="2" t="s">
        <v>5</v>
      </c>
      <c r="E9" s="329" t="s">
        <v>100</v>
      </c>
      <c r="F9" s="331"/>
      <c r="G9" s="329" t="s">
        <v>101</v>
      </c>
      <c r="H9" s="330"/>
      <c r="I9" s="329" t="s">
        <v>102</v>
      </c>
      <c r="J9" s="330"/>
      <c r="K9" s="331" t="s">
        <v>11</v>
      </c>
      <c r="L9" s="330"/>
      <c r="R9" s="230" t="s">
        <v>64</v>
      </c>
      <c r="S9" s="227">
        <v>21.01</v>
      </c>
      <c r="T9" s="214">
        <v>6.1979500000000005</v>
      </c>
      <c r="U9" s="215">
        <v>0.29499999999999998</v>
      </c>
      <c r="V9" s="214">
        <v>43700.800000000003</v>
      </c>
      <c r="W9" s="214">
        <v>12891.736000000001</v>
      </c>
      <c r="X9" s="216">
        <v>21.6403</v>
      </c>
      <c r="Y9" s="216">
        <v>45011.824000000001</v>
      </c>
      <c r="Z9" s="216">
        <v>13278.488079999999</v>
      </c>
      <c r="AA9" s="217">
        <v>22.289508999999999</v>
      </c>
      <c r="AB9" s="217">
        <v>46362.178719999996</v>
      </c>
      <c r="AC9" s="217">
        <v>13676.842722399999</v>
      </c>
    </row>
    <row r="10" spans="1:29" ht="16.5" thickBot="1" x14ac:dyDescent="0.3">
      <c r="A10" s="2" t="s">
        <v>2</v>
      </c>
      <c r="D10" s="18" t="s">
        <v>8</v>
      </c>
      <c r="E10" s="19" t="s">
        <v>6</v>
      </c>
      <c r="F10" s="110" t="s">
        <v>7</v>
      </c>
      <c r="G10" s="19" t="s">
        <v>6</v>
      </c>
      <c r="H10" s="20" t="s">
        <v>7</v>
      </c>
      <c r="I10" s="19" t="s">
        <v>6</v>
      </c>
      <c r="J10" s="20" t="s">
        <v>7</v>
      </c>
      <c r="K10" s="126" t="s">
        <v>6</v>
      </c>
      <c r="L10" s="22" t="s">
        <v>7</v>
      </c>
      <c r="R10" s="230" t="s">
        <v>181</v>
      </c>
      <c r="S10" s="228">
        <v>21.331300000000002</v>
      </c>
      <c r="T10" s="214">
        <v>6.2927335000000006</v>
      </c>
      <c r="U10" s="215">
        <v>0.29499999999999998</v>
      </c>
      <c r="V10" s="213">
        <v>38822.966000000008</v>
      </c>
      <c r="W10" s="213">
        <v>11452.774970000002</v>
      </c>
      <c r="X10" s="216">
        <v>21.971239000000004</v>
      </c>
      <c r="Y10" s="216">
        <v>39987.654980000007</v>
      </c>
      <c r="Z10" s="216">
        <v>11796.3582191</v>
      </c>
      <c r="AA10" s="217">
        <v>22.630376170000005</v>
      </c>
      <c r="AB10" s="217">
        <v>41187.284629400012</v>
      </c>
      <c r="AC10" s="217">
        <v>12150.248965673003</v>
      </c>
    </row>
    <row r="11" spans="1:29" ht="16.5" thickTop="1" x14ac:dyDescent="0.25">
      <c r="B11" t="s">
        <v>1</v>
      </c>
      <c r="C11" t="s">
        <v>19</v>
      </c>
      <c r="D11" s="3">
        <v>55.893799999999999</v>
      </c>
      <c r="E11" s="8">
        <v>0</v>
      </c>
      <c r="F11" s="46">
        <f>E11*$D11</f>
        <v>0</v>
      </c>
      <c r="G11" s="8">
        <v>0</v>
      </c>
      <c r="H11" s="9">
        <f>G11*$D11</f>
        <v>0</v>
      </c>
      <c r="I11" s="8">
        <v>0</v>
      </c>
      <c r="J11" s="9">
        <f>I11*$D11</f>
        <v>0</v>
      </c>
      <c r="K11" s="49">
        <f>E11+G11+I11</f>
        <v>0</v>
      </c>
      <c r="L11" s="15">
        <f>F11+H11+J11</f>
        <v>0</v>
      </c>
      <c r="R11" s="211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</row>
    <row r="12" spans="1:29" ht="15.75" x14ac:dyDescent="0.25">
      <c r="B12" t="s">
        <v>61</v>
      </c>
      <c r="C12" t="s">
        <v>19</v>
      </c>
      <c r="D12" s="7">
        <v>30.506799999999998</v>
      </c>
      <c r="E12" s="8">
        <v>0</v>
      </c>
      <c r="F12" s="46">
        <f t="shared" ref="F12:H18" si="0">E12*$D12</f>
        <v>0</v>
      </c>
      <c r="G12" s="8">
        <v>0</v>
      </c>
      <c r="H12" s="9">
        <f t="shared" si="0"/>
        <v>0</v>
      </c>
      <c r="I12" s="8">
        <v>0</v>
      </c>
      <c r="J12" s="9">
        <f t="shared" ref="J12:J18" si="1">I12*$D12</f>
        <v>0</v>
      </c>
      <c r="K12" s="49">
        <f t="shared" ref="K12:L18" si="2">E12+G12+I12</f>
        <v>0</v>
      </c>
      <c r="L12" s="15">
        <f t="shared" si="2"/>
        <v>0</v>
      </c>
      <c r="R12" s="211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</row>
    <row r="13" spans="1:29" x14ac:dyDescent="0.25">
      <c r="B13" t="s">
        <v>3</v>
      </c>
      <c r="C13" t="s">
        <v>18</v>
      </c>
      <c r="D13" s="3">
        <v>22.841999999999999</v>
      </c>
      <c r="E13" s="8">
        <v>0</v>
      </c>
      <c r="F13" s="46">
        <f t="shared" si="0"/>
        <v>0</v>
      </c>
      <c r="G13" s="8">
        <v>0</v>
      </c>
      <c r="H13" s="9">
        <f t="shared" si="0"/>
        <v>0</v>
      </c>
      <c r="I13" s="8">
        <v>0</v>
      </c>
      <c r="J13" s="9">
        <f t="shared" si="1"/>
        <v>0</v>
      </c>
      <c r="K13" s="49">
        <f t="shared" si="2"/>
        <v>0</v>
      </c>
      <c r="L13" s="15">
        <f t="shared" si="2"/>
        <v>0</v>
      </c>
    </row>
    <row r="14" spans="1:29" x14ac:dyDescent="0.25">
      <c r="B14" t="s">
        <v>56</v>
      </c>
      <c r="C14" t="s">
        <v>18</v>
      </c>
      <c r="D14" s="3">
        <v>33.453600000000002</v>
      </c>
      <c r="E14" s="8">
        <v>0</v>
      </c>
      <c r="F14" s="46">
        <f t="shared" si="0"/>
        <v>0</v>
      </c>
      <c r="G14" s="8">
        <v>0</v>
      </c>
      <c r="H14" s="9">
        <f t="shared" si="0"/>
        <v>0</v>
      </c>
      <c r="I14" s="8">
        <v>0</v>
      </c>
      <c r="J14" s="9">
        <f t="shared" si="1"/>
        <v>0</v>
      </c>
      <c r="K14" s="49">
        <f t="shared" si="2"/>
        <v>0</v>
      </c>
      <c r="L14" s="15">
        <f t="shared" si="2"/>
        <v>0</v>
      </c>
    </row>
    <row r="15" spans="1:29" x14ac:dyDescent="0.25">
      <c r="B15" t="s">
        <v>62</v>
      </c>
      <c r="C15" t="s">
        <v>9</v>
      </c>
      <c r="D15" s="3">
        <v>12</v>
      </c>
      <c r="E15" s="8">
        <v>0</v>
      </c>
      <c r="F15" s="46">
        <f t="shared" si="0"/>
        <v>0</v>
      </c>
      <c r="G15" s="8">
        <v>0</v>
      </c>
      <c r="H15" s="9">
        <f t="shared" si="0"/>
        <v>0</v>
      </c>
      <c r="I15" s="8">
        <v>0</v>
      </c>
      <c r="J15" s="9">
        <f t="shared" si="1"/>
        <v>0</v>
      </c>
      <c r="K15" s="49">
        <f t="shared" si="2"/>
        <v>0</v>
      </c>
      <c r="L15" s="15">
        <f t="shared" si="2"/>
        <v>0</v>
      </c>
    </row>
    <row r="16" spans="1:29" x14ac:dyDescent="0.25">
      <c r="B16" t="s">
        <v>63</v>
      </c>
      <c r="C16" t="s">
        <v>182</v>
      </c>
      <c r="D16" s="3">
        <f>S8</f>
        <v>41.379221153846153</v>
      </c>
      <c r="E16" s="109">
        <v>50</v>
      </c>
      <c r="F16" s="122">
        <f t="shared" si="0"/>
        <v>2068.9610576923078</v>
      </c>
      <c r="G16" s="109">
        <v>100</v>
      </c>
      <c r="H16" s="112">
        <f t="shared" si="0"/>
        <v>4137.9221153846156</v>
      </c>
      <c r="I16" s="109">
        <v>100</v>
      </c>
      <c r="J16" s="9">
        <f t="shared" si="1"/>
        <v>4137.9221153846156</v>
      </c>
      <c r="K16" s="49">
        <f t="shared" si="2"/>
        <v>250</v>
      </c>
      <c r="L16" s="15">
        <f t="shared" si="2"/>
        <v>10344.805288461539</v>
      </c>
    </row>
    <row r="17" spans="1:14" x14ac:dyDescent="0.25">
      <c r="B17" t="s">
        <v>64</v>
      </c>
      <c r="C17" t="s">
        <v>18</v>
      </c>
      <c r="D17" s="7">
        <f>S9</f>
        <v>21.01</v>
      </c>
      <c r="E17" s="109">
        <v>200</v>
      </c>
      <c r="F17" s="122">
        <f t="shared" si="0"/>
        <v>4202</v>
      </c>
      <c r="G17" s="109">
        <v>750</v>
      </c>
      <c r="H17" s="112">
        <f t="shared" si="0"/>
        <v>15757.500000000002</v>
      </c>
      <c r="I17" s="109">
        <v>500</v>
      </c>
      <c r="J17" s="9">
        <f t="shared" si="1"/>
        <v>10505</v>
      </c>
      <c r="K17" s="49">
        <f t="shared" si="2"/>
        <v>1450</v>
      </c>
      <c r="L17" s="15">
        <f t="shared" si="2"/>
        <v>30464.5</v>
      </c>
    </row>
    <row r="18" spans="1:14" x14ac:dyDescent="0.25">
      <c r="B18" t="s">
        <v>181</v>
      </c>
      <c r="C18" t="s">
        <v>183</v>
      </c>
      <c r="D18" s="7">
        <f>S10</f>
        <v>21.331300000000002</v>
      </c>
      <c r="E18" s="109">
        <v>10</v>
      </c>
      <c r="F18" s="122">
        <f t="shared" si="0"/>
        <v>213.31300000000002</v>
      </c>
      <c r="G18" s="109">
        <v>10</v>
      </c>
      <c r="H18" s="112">
        <f t="shared" si="0"/>
        <v>213.31300000000002</v>
      </c>
      <c r="I18" s="109">
        <v>10</v>
      </c>
      <c r="J18" s="9">
        <f t="shared" si="1"/>
        <v>213.31300000000002</v>
      </c>
      <c r="K18" s="49">
        <f t="shared" si="2"/>
        <v>30</v>
      </c>
      <c r="L18" s="15">
        <f t="shared" si="2"/>
        <v>639.93900000000008</v>
      </c>
    </row>
    <row r="19" spans="1:14" x14ac:dyDescent="0.25">
      <c r="D19" s="3"/>
      <c r="E19" s="109"/>
      <c r="F19" s="122"/>
      <c r="G19" s="109"/>
      <c r="H19" s="112"/>
      <c r="I19" s="109"/>
      <c r="J19" s="9"/>
      <c r="K19" s="49"/>
      <c r="L19" s="15"/>
    </row>
    <row r="20" spans="1:14" x14ac:dyDescent="0.25">
      <c r="D20" s="3"/>
      <c r="E20" s="10"/>
      <c r="F20" s="47"/>
      <c r="G20" s="10"/>
      <c r="H20" s="11"/>
      <c r="I20" s="10"/>
      <c r="J20" s="11"/>
      <c r="K20" s="127" t="s">
        <v>12</v>
      </c>
      <c r="L20" s="17">
        <f>SUM(L11:L19)</f>
        <v>41449.244288461538</v>
      </c>
    </row>
    <row r="21" spans="1:14" x14ac:dyDescent="0.25">
      <c r="D21" s="3"/>
      <c r="E21" s="10"/>
      <c r="F21" s="47"/>
      <c r="G21" s="10"/>
      <c r="H21" s="11"/>
      <c r="I21" s="10"/>
      <c r="J21" s="11"/>
      <c r="K21" s="49"/>
      <c r="L21" s="14"/>
    </row>
    <row r="22" spans="1:14" x14ac:dyDescent="0.25">
      <c r="A22" s="2" t="s">
        <v>4</v>
      </c>
      <c r="D22" s="3"/>
      <c r="E22" s="10"/>
      <c r="F22" s="47"/>
      <c r="G22" s="10"/>
      <c r="H22" s="11"/>
      <c r="I22" s="10"/>
      <c r="J22" s="11"/>
      <c r="K22" s="49"/>
      <c r="L22" s="14"/>
      <c r="N22" s="5" t="s">
        <v>190</v>
      </c>
    </row>
    <row r="23" spans="1:14" x14ac:dyDescent="0.25">
      <c r="B23" t="s">
        <v>1</v>
      </c>
      <c r="D23" s="6">
        <v>0.36</v>
      </c>
      <c r="E23" s="10"/>
      <c r="F23" s="48">
        <f t="shared" ref="F23:F30" si="3">$D23*F11</f>
        <v>0</v>
      </c>
      <c r="G23" s="10"/>
      <c r="H23" s="12">
        <f t="shared" ref="H23:H29" si="4">$D23*H11</f>
        <v>0</v>
      </c>
      <c r="I23" s="10"/>
      <c r="J23" s="12">
        <f t="shared" ref="J23:J29" si="5">$D23*J11</f>
        <v>0</v>
      </c>
      <c r="K23" s="49"/>
      <c r="L23" s="15">
        <f>F23+H23+J23</f>
        <v>0</v>
      </c>
      <c r="N23" s="44"/>
    </row>
    <row r="24" spans="1:14" x14ac:dyDescent="0.25">
      <c r="B24" t="s">
        <v>61</v>
      </c>
      <c r="D24" s="6">
        <v>0.29499999999999998</v>
      </c>
      <c r="E24" s="10"/>
      <c r="F24" s="48">
        <f t="shared" si="3"/>
        <v>0</v>
      </c>
      <c r="G24" s="10"/>
      <c r="H24" s="12">
        <f t="shared" si="4"/>
        <v>0</v>
      </c>
      <c r="I24" s="10"/>
      <c r="J24" s="12">
        <f t="shared" si="5"/>
        <v>0</v>
      </c>
      <c r="K24" s="49"/>
      <c r="L24" s="15">
        <f t="shared" ref="L24:L29" si="6">F24+H24+J24</f>
        <v>0</v>
      </c>
      <c r="N24" s="44"/>
    </row>
    <row r="25" spans="1:14" x14ac:dyDescent="0.25">
      <c r="B25" t="s">
        <v>3</v>
      </c>
      <c r="D25" s="6">
        <v>0.29499999999999998</v>
      </c>
      <c r="E25" s="10"/>
      <c r="F25" s="48">
        <f t="shared" si="3"/>
        <v>0</v>
      </c>
      <c r="G25" s="10"/>
      <c r="H25" s="12">
        <f t="shared" si="4"/>
        <v>0</v>
      </c>
      <c r="I25" s="10"/>
      <c r="J25" s="12">
        <f t="shared" si="5"/>
        <v>0</v>
      </c>
      <c r="K25" s="49"/>
      <c r="L25" s="15">
        <f t="shared" si="6"/>
        <v>0</v>
      </c>
      <c r="N25" s="44"/>
    </row>
    <row r="26" spans="1:14" x14ac:dyDescent="0.25">
      <c r="B26" t="s">
        <v>56</v>
      </c>
      <c r="D26" s="6">
        <v>0.29499999999999998</v>
      </c>
      <c r="E26" s="10"/>
      <c r="F26" s="48">
        <f t="shared" si="3"/>
        <v>0</v>
      </c>
      <c r="G26" s="10"/>
      <c r="H26" s="12">
        <f t="shared" si="4"/>
        <v>0</v>
      </c>
      <c r="I26" s="10"/>
      <c r="J26" s="12">
        <f t="shared" si="5"/>
        <v>0</v>
      </c>
      <c r="K26" s="49"/>
      <c r="L26" s="15">
        <f t="shared" si="6"/>
        <v>0</v>
      </c>
      <c r="N26" s="44"/>
    </row>
    <row r="27" spans="1:14" x14ac:dyDescent="0.25">
      <c r="B27" t="s">
        <v>62</v>
      </c>
      <c r="D27" s="6">
        <v>0</v>
      </c>
      <c r="E27" s="10"/>
      <c r="F27" s="48">
        <f t="shared" si="3"/>
        <v>0</v>
      </c>
      <c r="G27" s="10"/>
      <c r="H27" s="12">
        <f t="shared" si="4"/>
        <v>0</v>
      </c>
      <c r="I27" s="10"/>
      <c r="J27" s="12">
        <f t="shared" si="5"/>
        <v>0</v>
      </c>
      <c r="K27" s="49"/>
      <c r="L27" s="15">
        <f t="shared" si="6"/>
        <v>0</v>
      </c>
      <c r="N27" s="44"/>
    </row>
    <row r="28" spans="1:14" x14ac:dyDescent="0.25">
      <c r="B28" t="s">
        <v>63</v>
      </c>
      <c r="D28" s="6">
        <v>0.36</v>
      </c>
      <c r="E28" s="10"/>
      <c r="F28" s="48">
        <f t="shared" si="3"/>
        <v>744.8259807692308</v>
      </c>
      <c r="G28" s="10"/>
      <c r="H28" s="12">
        <f t="shared" si="4"/>
        <v>1489.6519615384616</v>
      </c>
      <c r="I28" s="10"/>
      <c r="J28" s="12">
        <f t="shared" si="5"/>
        <v>1489.6519615384616</v>
      </c>
      <c r="K28" s="49"/>
      <c r="L28" s="15">
        <f t="shared" si="6"/>
        <v>3724.1299038461539</v>
      </c>
      <c r="N28" s="44">
        <f>L16+L28</f>
        <v>14068.935192307694</v>
      </c>
    </row>
    <row r="29" spans="1:14" x14ac:dyDescent="0.25">
      <c r="B29" t="s">
        <v>64</v>
      </c>
      <c r="C29" t="s">
        <v>18</v>
      </c>
      <c r="D29" s="6">
        <v>0.29499999999999998</v>
      </c>
      <c r="E29" s="10"/>
      <c r="F29" s="48">
        <f t="shared" si="3"/>
        <v>1239.5899999999999</v>
      </c>
      <c r="G29" s="10"/>
      <c r="H29" s="12">
        <f t="shared" si="4"/>
        <v>4648.4625000000005</v>
      </c>
      <c r="I29" s="10"/>
      <c r="J29" s="12">
        <f t="shared" si="5"/>
        <v>3098.9749999999999</v>
      </c>
      <c r="K29" s="49"/>
      <c r="L29" s="15">
        <f t="shared" si="6"/>
        <v>8987.0275000000001</v>
      </c>
      <c r="N29" s="44">
        <f t="shared" ref="N29:N30" si="7">L17+L29</f>
        <v>39451.527499999997</v>
      </c>
    </row>
    <row r="30" spans="1:14" x14ac:dyDescent="0.25">
      <c r="B30" t="s">
        <v>181</v>
      </c>
      <c r="C30" t="s">
        <v>183</v>
      </c>
      <c r="D30" s="6">
        <v>0.29499999999999998</v>
      </c>
      <c r="E30" s="10"/>
      <c r="F30" s="48">
        <f t="shared" si="3"/>
        <v>62.927334999999999</v>
      </c>
      <c r="G30" s="125"/>
      <c r="H30" s="12">
        <f t="shared" ref="H30:L30" si="8">$D30*H18</f>
        <v>62.927334999999999</v>
      </c>
      <c r="I30" s="125"/>
      <c r="J30" s="12">
        <f t="shared" si="8"/>
        <v>62.927334999999999</v>
      </c>
      <c r="K30" s="48">
        <f t="shared" si="8"/>
        <v>8.85</v>
      </c>
      <c r="L30" s="12">
        <f t="shared" si="8"/>
        <v>188.78200500000003</v>
      </c>
      <c r="N30" s="44">
        <f t="shared" si="7"/>
        <v>828.7210050000001</v>
      </c>
    </row>
    <row r="31" spans="1:14" x14ac:dyDescent="0.25">
      <c r="D31" s="6"/>
      <c r="E31" s="10"/>
      <c r="F31" s="48"/>
      <c r="G31" s="10"/>
      <c r="H31" s="12"/>
      <c r="I31" s="10"/>
      <c r="J31" s="12"/>
      <c r="K31" s="49"/>
      <c r="L31" s="15"/>
    </row>
    <row r="32" spans="1:14" x14ac:dyDescent="0.25">
      <c r="E32" s="13"/>
      <c r="F32" s="49"/>
      <c r="G32" s="13"/>
      <c r="H32" s="14"/>
      <c r="I32" s="13"/>
      <c r="J32" s="14"/>
      <c r="K32" s="127" t="s">
        <v>13</v>
      </c>
      <c r="L32" s="17">
        <f>SUM(L23:L31)</f>
        <v>12899.939408846156</v>
      </c>
    </row>
    <row r="33" spans="1:12" ht="15.75" thickBot="1" x14ac:dyDescent="0.3">
      <c r="E33" s="23"/>
      <c r="F33" s="51">
        <f>SUM(F11:F32)</f>
        <v>8531.6173734615386</v>
      </c>
      <c r="G33" s="23"/>
      <c r="H33" s="43">
        <f>SUM(H11:H32)</f>
        <v>26309.776911923076</v>
      </c>
      <c r="I33" s="23"/>
      <c r="J33" s="43">
        <f>SUM(J11:J32)</f>
        <v>19507.789411923077</v>
      </c>
      <c r="K33" s="128" t="s">
        <v>14</v>
      </c>
      <c r="L33" s="25">
        <f>L32+L20</f>
        <v>54349.183697307693</v>
      </c>
    </row>
    <row r="34" spans="1:12" x14ac:dyDescent="0.25">
      <c r="A34" s="2" t="s">
        <v>319</v>
      </c>
      <c r="E34" s="55"/>
      <c r="F34" s="58"/>
      <c r="G34" s="55"/>
      <c r="H34" s="56">
        <f>20*2500</f>
        <v>50000</v>
      </c>
      <c r="I34" s="55"/>
      <c r="J34" s="56"/>
      <c r="K34" s="129"/>
      <c r="L34" s="60">
        <f>SUM(F34:J34)</f>
        <v>50000</v>
      </c>
    </row>
    <row r="35" spans="1:12" x14ac:dyDescent="0.25">
      <c r="E35" s="55"/>
      <c r="G35" s="55"/>
      <c r="H35" s="56"/>
      <c r="I35" s="55"/>
      <c r="J35" s="56"/>
      <c r="K35" s="129"/>
      <c r="L35" s="60">
        <f>SUM(F35:J35)</f>
        <v>0</v>
      </c>
    </row>
    <row r="36" spans="1:12" ht="15.75" thickBot="1" x14ac:dyDescent="0.3">
      <c r="E36" s="23"/>
      <c r="F36" s="51">
        <f>SUM(F34:F35)</f>
        <v>0</v>
      </c>
      <c r="G36" s="23"/>
      <c r="H36" s="43">
        <f>SUM(H34:H35)</f>
        <v>50000</v>
      </c>
      <c r="I36" s="23"/>
      <c r="J36" s="43">
        <f>SUM(J34:J35)</f>
        <v>0</v>
      </c>
      <c r="K36" s="128" t="s">
        <v>128</v>
      </c>
      <c r="L36" s="25">
        <f>F36+H36+J36</f>
        <v>50000</v>
      </c>
    </row>
    <row r="37" spans="1:12" x14ac:dyDescent="0.25">
      <c r="A37" s="2" t="s">
        <v>129</v>
      </c>
      <c r="C37" t="s">
        <v>84</v>
      </c>
      <c r="D37">
        <v>0.57999999999999996</v>
      </c>
      <c r="E37" s="13">
        <v>200</v>
      </c>
      <c r="F37" s="50">
        <f>$D$37*E37</f>
        <v>115.99999999999999</v>
      </c>
      <c r="G37" s="13">
        <v>400</v>
      </c>
      <c r="H37" s="15">
        <f>$D$37*G37</f>
        <v>231.99999999999997</v>
      </c>
      <c r="I37" s="13">
        <v>400</v>
      </c>
      <c r="J37" s="15">
        <f>$D$37*I37</f>
        <v>231.99999999999997</v>
      </c>
      <c r="K37" s="49"/>
      <c r="L37" s="15"/>
    </row>
    <row r="38" spans="1:12" x14ac:dyDescent="0.25">
      <c r="E38" s="13"/>
      <c r="F38" s="50"/>
      <c r="G38" s="13"/>
      <c r="H38" s="14"/>
      <c r="I38" s="13"/>
      <c r="J38" s="14"/>
      <c r="K38" s="49"/>
      <c r="L38" s="15"/>
    </row>
    <row r="39" spans="1:12" ht="15.75" thickBot="1" x14ac:dyDescent="0.3">
      <c r="B39" s="2"/>
      <c r="E39" s="23"/>
      <c r="F39" s="51">
        <f>SUM(F37:F38)</f>
        <v>115.99999999999999</v>
      </c>
      <c r="G39" s="23"/>
      <c r="H39" s="43">
        <f>SUM(H37:H38)</f>
        <v>231.99999999999997</v>
      </c>
      <c r="I39" s="23"/>
      <c r="J39" s="43">
        <f>SUM(J37:J38)</f>
        <v>231.99999999999997</v>
      </c>
      <c r="K39" s="128" t="s">
        <v>20</v>
      </c>
      <c r="L39" s="25">
        <f>SUM(F39,H39,J39)</f>
        <v>579.99999999999989</v>
      </c>
    </row>
    <row r="40" spans="1:12" x14ac:dyDescent="0.25">
      <c r="A40" s="2"/>
    </row>
    <row r="41" spans="1:12" x14ac:dyDescent="0.25">
      <c r="F41" s="44"/>
      <c r="H41" s="44"/>
      <c r="J41" s="44"/>
    </row>
    <row r="43" spans="1:12" x14ac:dyDescent="0.25">
      <c r="H43" s="44"/>
      <c r="K43" s="4" t="s">
        <v>16</v>
      </c>
      <c r="L43" s="5">
        <f>SUM(L39,L36,L33)</f>
        <v>104929.18369730769</v>
      </c>
    </row>
    <row r="44" spans="1:12" x14ac:dyDescent="0.25">
      <c r="K44" s="4" t="s">
        <v>203</v>
      </c>
      <c r="L44" s="5">
        <f>L43*0.54</f>
        <v>56661.759196546154</v>
      </c>
    </row>
    <row r="45" spans="1:12" x14ac:dyDescent="0.25">
      <c r="K45" s="4"/>
      <c r="L45" s="5"/>
    </row>
  </sheetData>
  <mergeCells count="4">
    <mergeCell ref="E9:F9"/>
    <mergeCell ref="G9:H9"/>
    <mergeCell ref="I9:J9"/>
    <mergeCell ref="K9:L9"/>
  </mergeCells>
  <pageMargins left="0.2" right="0.2" top="0.75" bottom="0.75" header="0.3" footer="0.3"/>
  <pageSetup scale="7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3"/>
  <sheetViews>
    <sheetView topLeftCell="N1" zoomScale="70" zoomScaleNormal="70" workbookViewId="0">
      <selection activeCell="M24" activeCellId="1" sqref="M7 M24"/>
    </sheetView>
  </sheetViews>
  <sheetFormatPr defaultRowHeight="15" x14ac:dyDescent="0.25"/>
  <cols>
    <col min="1" max="1" width="34.85546875" customWidth="1"/>
    <col min="2" max="2" width="15" customWidth="1"/>
    <col min="3" max="3" width="8.140625" customWidth="1"/>
    <col min="4" max="4" width="14.28515625" customWidth="1"/>
    <col min="5" max="5" width="13.28515625" customWidth="1"/>
    <col min="6" max="6" width="12" customWidth="1"/>
    <col min="7" max="7" width="11.5703125" customWidth="1"/>
    <col min="8" max="8" width="30.5703125" customWidth="1"/>
    <col min="9" max="9" width="15" customWidth="1"/>
    <col min="10" max="10" width="49" customWidth="1"/>
    <col min="15" max="16" width="20.28515625" customWidth="1"/>
    <col min="19" max="19" width="13.7109375" customWidth="1"/>
    <col min="20" max="20" width="8.7109375" customWidth="1"/>
    <col min="21" max="21" width="10.140625" bestFit="1" customWidth="1"/>
    <col min="22" max="22" width="11.7109375" bestFit="1" customWidth="1"/>
    <col min="23" max="23" width="13.28515625" bestFit="1" customWidth="1"/>
    <col min="24" max="24" width="13.28515625" customWidth="1"/>
    <col min="25" max="26" width="11.7109375" bestFit="1" customWidth="1"/>
    <col min="27" max="27" width="11.7109375" customWidth="1"/>
    <col min="28" max="29" width="11.7109375" bestFit="1" customWidth="1"/>
  </cols>
  <sheetData>
    <row r="1" spans="1:30" ht="15.75" thickBot="1" x14ac:dyDescent="0.3">
      <c r="A1" s="27" t="s">
        <v>21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15.75" thickBot="1" x14ac:dyDescent="0.3">
      <c r="A2" s="28"/>
      <c r="B2" s="144"/>
      <c r="C2" s="144"/>
      <c r="D2" s="29"/>
      <c r="E2" s="29"/>
      <c r="F2" s="29"/>
      <c r="G2" s="29"/>
      <c r="H2" s="29"/>
      <c r="I2" s="29"/>
      <c r="J2" s="28"/>
      <c r="K2" s="28"/>
      <c r="L2" s="28"/>
      <c r="M2" s="28"/>
      <c r="N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30" ht="15" customHeight="1" thickBot="1" x14ac:dyDescent="0.3">
      <c r="A3" s="30"/>
      <c r="B3" s="145"/>
      <c r="C3" s="145"/>
      <c r="D3" s="332" t="s">
        <v>22</v>
      </c>
      <c r="E3" s="333"/>
      <c r="F3" s="333"/>
      <c r="G3" s="334"/>
      <c r="H3" s="30"/>
      <c r="I3" s="30"/>
      <c r="J3" s="31"/>
      <c r="K3" s="28"/>
      <c r="L3" s="28"/>
      <c r="M3" s="28"/>
      <c r="N3" s="28"/>
      <c r="O3" s="179" t="s">
        <v>217</v>
      </c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28"/>
    </row>
    <row r="4" spans="1:30" s="160" customFormat="1" ht="71.25" customHeight="1" thickBot="1" x14ac:dyDescent="0.3">
      <c r="A4" s="150"/>
      <c r="B4" s="238" t="s">
        <v>234</v>
      </c>
      <c r="C4" s="238" t="s">
        <v>233</v>
      </c>
      <c r="D4" s="151" t="s">
        <v>23</v>
      </c>
      <c r="E4" s="151" t="s">
        <v>24</v>
      </c>
      <c r="F4" s="151" t="s">
        <v>25</v>
      </c>
      <c r="G4" s="152" t="s">
        <v>26</v>
      </c>
      <c r="H4" s="151" t="s">
        <v>27</v>
      </c>
      <c r="I4" s="151" t="s">
        <v>28</v>
      </c>
      <c r="J4" s="153"/>
      <c r="K4" s="154"/>
      <c r="L4" s="155" t="s">
        <v>29</v>
      </c>
      <c r="M4" s="156"/>
      <c r="N4" s="157"/>
      <c r="O4" s="158"/>
      <c r="P4" s="158"/>
      <c r="Q4" s="161" t="s">
        <v>214</v>
      </c>
      <c r="R4" s="161" t="s">
        <v>205</v>
      </c>
      <c r="S4" s="161" t="s">
        <v>24</v>
      </c>
      <c r="T4" s="161" t="s">
        <v>206</v>
      </c>
      <c r="U4" s="161" t="s">
        <v>207</v>
      </c>
      <c r="V4" s="161" t="s">
        <v>208</v>
      </c>
      <c r="W4" s="162" t="s">
        <v>209</v>
      </c>
      <c r="X4" s="177" t="s">
        <v>215</v>
      </c>
      <c r="Y4" s="177" t="s">
        <v>212</v>
      </c>
      <c r="Z4" s="177" t="s">
        <v>210</v>
      </c>
      <c r="AA4" s="178" t="s">
        <v>216</v>
      </c>
      <c r="AB4" s="178" t="s">
        <v>211</v>
      </c>
      <c r="AC4" s="178" t="s">
        <v>213</v>
      </c>
      <c r="AD4" s="159"/>
    </row>
    <row r="5" spans="1:30" ht="30.75" thickBot="1" x14ac:dyDescent="0.3">
      <c r="A5" s="32" t="s">
        <v>30</v>
      </c>
      <c r="B5" s="239" t="s">
        <v>236</v>
      </c>
      <c r="C5" s="239">
        <v>11107</v>
      </c>
      <c r="D5" s="33">
        <v>29.92</v>
      </c>
      <c r="E5" s="30" t="s">
        <v>31</v>
      </c>
      <c r="F5" s="34">
        <v>8.5</v>
      </c>
      <c r="G5" s="35">
        <v>38.42</v>
      </c>
      <c r="H5" s="34">
        <v>59.17</v>
      </c>
      <c r="I5" s="36">
        <v>62234</v>
      </c>
      <c r="J5" s="31" t="s">
        <v>30</v>
      </c>
      <c r="K5" s="31"/>
      <c r="L5" s="30" t="s">
        <v>32</v>
      </c>
      <c r="M5" s="37">
        <v>0.34200000000000003</v>
      </c>
      <c r="N5" s="134"/>
      <c r="O5" s="137" t="s">
        <v>30</v>
      </c>
      <c r="P5" s="136"/>
      <c r="Q5" s="163">
        <f>D5*6%+D5</f>
        <v>31.715200000000003</v>
      </c>
      <c r="R5" s="164">
        <f>Q5*T5</f>
        <v>9.3559840000000012</v>
      </c>
      <c r="S5" s="163" t="s">
        <v>31</v>
      </c>
      <c r="T5" s="165">
        <v>0.29499999999999998</v>
      </c>
      <c r="U5" s="164">
        <f>Q5+R5</f>
        <v>41.071184000000002</v>
      </c>
      <c r="V5" s="164">
        <f>Q5*2080</f>
        <v>65967.616000000009</v>
      </c>
      <c r="W5" s="166">
        <f>V5*T5</f>
        <v>19460.44672</v>
      </c>
      <c r="X5" s="175">
        <f>Q5*3%+Q5</f>
        <v>32.666656000000003</v>
      </c>
      <c r="Y5" s="175">
        <f>X5*2080</f>
        <v>67946.644480000003</v>
      </c>
      <c r="Z5" s="175">
        <f>Y5*T5</f>
        <v>20044.2601216</v>
      </c>
      <c r="AA5" s="176">
        <f>X5*3%+X5</f>
        <v>33.646655680000002</v>
      </c>
      <c r="AB5" s="176">
        <f>AA5*2080</f>
        <v>69985.043814400007</v>
      </c>
      <c r="AC5" s="176">
        <f>AB5*T5</f>
        <v>20645.587925248001</v>
      </c>
      <c r="AD5" s="135"/>
    </row>
    <row r="6" spans="1:30" ht="30.75" thickBot="1" x14ac:dyDescent="0.3">
      <c r="A6" s="32" t="s">
        <v>33</v>
      </c>
      <c r="B6" s="239" t="s">
        <v>237</v>
      </c>
      <c r="C6" s="239">
        <v>11107</v>
      </c>
      <c r="D6" s="33">
        <v>32.82</v>
      </c>
      <c r="E6" s="30" t="s">
        <v>32</v>
      </c>
      <c r="F6" s="34">
        <v>11.22</v>
      </c>
      <c r="G6" s="35">
        <v>44.04</v>
      </c>
      <c r="H6" s="34">
        <v>67.819999999999993</v>
      </c>
      <c r="I6" s="36">
        <v>68266</v>
      </c>
      <c r="J6" s="31" t="s">
        <v>33</v>
      </c>
      <c r="K6" s="31"/>
      <c r="L6" s="30" t="s">
        <v>31</v>
      </c>
      <c r="M6" s="37">
        <v>0.28399999999999997</v>
      </c>
      <c r="N6" s="28"/>
      <c r="O6" s="138" t="s">
        <v>33</v>
      </c>
      <c r="P6" s="136"/>
      <c r="Q6" s="163">
        <f>D6*6%+D6</f>
        <v>34.789200000000001</v>
      </c>
      <c r="R6" s="164">
        <f>Q6*T6</f>
        <v>12.524112000000001</v>
      </c>
      <c r="S6" s="167" t="s">
        <v>32</v>
      </c>
      <c r="T6" s="165">
        <v>0.36</v>
      </c>
      <c r="U6" s="164">
        <f t="shared" ref="U6:U23" si="0">Q6+R6</f>
        <v>47.313312000000003</v>
      </c>
      <c r="V6" s="164">
        <f>Q6*2080</f>
        <v>72361.536000000007</v>
      </c>
      <c r="W6" s="164">
        <f>V6*T6</f>
        <v>26050.152960000003</v>
      </c>
      <c r="X6" s="175">
        <f t="shared" ref="X6:X23" si="1">Q6*3%+Q6</f>
        <v>35.832875999999999</v>
      </c>
      <c r="Y6" s="175">
        <f t="shared" ref="Y6:Y23" si="2">X6*2080</f>
        <v>74532.382079999996</v>
      </c>
      <c r="Z6" s="175">
        <f t="shared" ref="Z6:Z23" si="3">Y6*T6</f>
        <v>26831.657548799998</v>
      </c>
      <c r="AA6" s="176">
        <f t="shared" ref="AA6:AA23" si="4">X6*3%+X6</f>
        <v>36.907862279999996</v>
      </c>
      <c r="AB6" s="176">
        <f t="shared" ref="AB6:AB23" si="5">AA6*2080</f>
        <v>76768.353542399986</v>
      </c>
      <c r="AC6" s="176">
        <f t="shared" ref="AC6:AC23" si="6">AB6*T6</f>
        <v>27636.607275263992</v>
      </c>
      <c r="AD6" s="135"/>
    </row>
    <row r="7" spans="1:30" ht="27" thickBot="1" x14ac:dyDescent="0.3">
      <c r="A7" s="32" t="s">
        <v>34</v>
      </c>
      <c r="B7" s="239"/>
      <c r="C7" s="239"/>
      <c r="D7" s="38"/>
      <c r="E7" s="39" t="s">
        <v>35</v>
      </c>
      <c r="F7" s="39"/>
      <c r="G7" s="39"/>
      <c r="H7" s="38"/>
      <c r="I7" s="38"/>
      <c r="J7" s="31" t="s">
        <v>34</v>
      </c>
      <c r="K7" s="31"/>
      <c r="L7" s="30" t="s">
        <v>35</v>
      </c>
      <c r="M7" s="37">
        <v>7.6999999999999999E-2</v>
      </c>
      <c r="N7" s="28"/>
      <c r="O7" s="139" t="s">
        <v>34</v>
      </c>
      <c r="P7" s="136"/>
      <c r="Q7" s="163">
        <f t="shared" ref="Q7:Q23" si="7">D7*6%+D7</f>
        <v>0</v>
      </c>
      <c r="R7" s="164"/>
      <c r="S7" s="168" t="s">
        <v>35</v>
      </c>
      <c r="T7" s="169">
        <v>8.2000000000000003E-2</v>
      </c>
      <c r="U7" s="164">
        <f t="shared" si="0"/>
        <v>0</v>
      </c>
      <c r="V7" s="164">
        <f>Q7*2080</f>
        <v>0</v>
      </c>
      <c r="W7" s="164">
        <f t="shared" ref="W7:W23" si="8">V7*T7</f>
        <v>0</v>
      </c>
      <c r="X7" s="175">
        <f t="shared" si="1"/>
        <v>0</v>
      </c>
      <c r="Y7" s="175">
        <f t="shared" si="2"/>
        <v>0</v>
      </c>
      <c r="Z7" s="175">
        <f t="shared" si="3"/>
        <v>0</v>
      </c>
      <c r="AA7" s="176">
        <f t="shared" si="4"/>
        <v>0</v>
      </c>
      <c r="AB7" s="176">
        <f t="shared" si="5"/>
        <v>0</v>
      </c>
      <c r="AC7" s="176">
        <f t="shared" si="6"/>
        <v>0</v>
      </c>
      <c r="AD7" s="135"/>
    </row>
    <row r="8" spans="1:30" ht="30.75" thickBot="1" x14ac:dyDescent="0.3">
      <c r="A8" s="32" t="s">
        <v>36</v>
      </c>
      <c r="B8" s="239" t="s">
        <v>235</v>
      </c>
      <c r="C8" s="239">
        <v>11107</v>
      </c>
      <c r="D8" s="33">
        <v>33.869999999999997</v>
      </c>
      <c r="E8" s="30" t="s">
        <v>32</v>
      </c>
      <c r="F8" s="34">
        <v>11.58</v>
      </c>
      <c r="G8" s="35">
        <v>45.45</v>
      </c>
      <c r="H8" s="34">
        <v>69.989999999999995</v>
      </c>
      <c r="I8" s="36">
        <v>70450</v>
      </c>
      <c r="J8" s="31" t="s">
        <v>36</v>
      </c>
      <c r="K8" s="31"/>
      <c r="L8" s="30" t="s">
        <v>37</v>
      </c>
      <c r="M8" s="37">
        <v>0.23</v>
      </c>
      <c r="N8" s="28"/>
      <c r="O8" s="139" t="s">
        <v>36</v>
      </c>
      <c r="P8" s="136"/>
      <c r="Q8" s="170">
        <f t="shared" si="7"/>
        <v>35.902199999999993</v>
      </c>
      <c r="R8" s="164">
        <f t="shared" ref="R8:R23" si="9">Q8*T8</f>
        <v>12.924791999999997</v>
      </c>
      <c r="S8" s="171" t="s">
        <v>32</v>
      </c>
      <c r="T8" s="165">
        <v>0.36</v>
      </c>
      <c r="U8" s="164">
        <f t="shared" si="0"/>
        <v>48.82699199999999</v>
      </c>
      <c r="V8" s="164">
        <f t="shared" ref="V8:V23" si="10">Q8*2080</f>
        <v>74676.575999999986</v>
      </c>
      <c r="W8" s="164">
        <f t="shared" si="8"/>
        <v>26883.567359999994</v>
      </c>
      <c r="X8" s="175">
        <f t="shared" si="1"/>
        <v>36.979265999999996</v>
      </c>
      <c r="Y8" s="175">
        <f t="shared" si="2"/>
        <v>76916.873279999985</v>
      </c>
      <c r="Z8" s="175">
        <f t="shared" si="3"/>
        <v>27690.074380799993</v>
      </c>
      <c r="AA8" s="176">
        <f t="shared" si="4"/>
        <v>38.088643979999993</v>
      </c>
      <c r="AB8" s="176">
        <f t="shared" si="5"/>
        <v>79224.379478399991</v>
      </c>
      <c r="AC8" s="176">
        <f t="shared" si="6"/>
        <v>28520.776612223995</v>
      </c>
      <c r="AD8" s="135"/>
    </row>
    <row r="9" spans="1:30" ht="30.75" thickBot="1" x14ac:dyDescent="0.3">
      <c r="A9" s="32" t="s">
        <v>38</v>
      </c>
      <c r="B9" s="239" t="s">
        <v>238</v>
      </c>
      <c r="C9" s="239">
        <v>11107</v>
      </c>
      <c r="D9" s="33">
        <v>29.63</v>
      </c>
      <c r="E9" s="30" t="s">
        <v>31</v>
      </c>
      <c r="F9" s="34">
        <v>8.41</v>
      </c>
      <c r="G9" s="35">
        <v>38.04</v>
      </c>
      <c r="H9" s="34">
        <v>58.58</v>
      </c>
      <c r="I9" s="36">
        <v>61630</v>
      </c>
      <c r="J9" s="31" t="s">
        <v>38</v>
      </c>
      <c r="K9" s="31"/>
      <c r="L9" s="30" t="s">
        <v>39</v>
      </c>
      <c r="M9" s="37">
        <v>0.17699999999999999</v>
      </c>
      <c r="N9" s="40" t="s">
        <v>40</v>
      </c>
      <c r="O9" s="139" t="s">
        <v>38</v>
      </c>
      <c r="P9" s="136"/>
      <c r="Q9" s="163">
        <f t="shared" si="7"/>
        <v>31.407799999999998</v>
      </c>
      <c r="R9" s="164">
        <f t="shared" si="9"/>
        <v>9.2653009999999991</v>
      </c>
      <c r="S9" s="171" t="s">
        <v>31</v>
      </c>
      <c r="T9" s="165">
        <v>0.29499999999999998</v>
      </c>
      <c r="U9" s="164">
        <f t="shared" si="0"/>
        <v>40.673100999999996</v>
      </c>
      <c r="V9" s="164">
        <f t="shared" si="10"/>
        <v>65328.223999999995</v>
      </c>
      <c r="W9" s="164">
        <f t="shared" si="8"/>
        <v>19271.826079999999</v>
      </c>
      <c r="X9" s="175">
        <f t="shared" si="1"/>
        <v>32.350034000000001</v>
      </c>
      <c r="Y9" s="175">
        <f t="shared" si="2"/>
        <v>67288.070720000003</v>
      </c>
      <c r="Z9" s="175">
        <f t="shared" si="3"/>
        <v>19849.9808624</v>
      </c>
      <c r="AA9" s="176">
        <f t="shared" si="4"/>
        <v>33.320535020000001</v>
      </c>
      <c r="AB9" s="176">
        <f t="shared" si="5"/>
        <v>69306.712841600005</v>
      </c>
      <c r="AC9" s="176">
        <f t="shared" si="6"/>
        <v>20445.480288272</v>
      </c>
      <c r="AD9" s="135"/>
    </row>
    <row r="10" spans="1:30" ht="30.75" thickBot="1" x14ac:dyDescent="0.3">
      <c r="A10" s="32" t="s">
        <v>41</v>
      </c>
      <c r="B10" s="239" t="s">
        <v>239</v>
      </c>
      <c r="C10" s="239">
        <v>11107</v>
      </c>
      <c r="D10" s="33">
        <v>27.2</v>
      </c>
      <c r="E10" s="30" t="s">
        <v>31</v>
      </c>
      <c r="F10" s="34">
        <v>7.72</v>
      </c>
      <c r="G10" s="35">
        <v>34.92</v>
      </c>
      <c r="H10" s="34">
        <v>53.78</v>
      </c>
      <c r="I10" s="36">
        <v>56576</v>
      </c>
      <c r="J10" s="31" t="s">
        <v>41</v>
      </c>
      <c r="K10" s="31"/>
      <c r="L10" s="30" t="s">
        <v>42</v>
      </c>
      <c r="M10" s="37">
        <v>0</v>
      </c>
      <c r="N10" s="28"/>
      <c r="O10" s="139" t="s">
        <v>41</v>
      </c>
      <c r="P10" s="136"/>
      <c r="Q10" s="163">
        <f t="shared" si="7"/>
        <v>28.832000000000001</v>
      </c>
      <c r="R10" s="164">
        <f t="shared" si="9"/>
        <v>8.5054400000000001</v>
      </c>
      <c r="S10" s="171" t="s">
        <v>31</v>
      </c>
      <c r="T10" s="165">
        <v>0.29499999999999998</v>
      </c>
      <c r="U10" s="164">
        <f t="shared" si="0"/>
        <v>37.337440000000001</v>
      </c>
      <c r="V10" s="164">
        <f t="shared" si="10"/>
        <v>59970.560000000005</v>
      </c>
      <c r="W10" s="164">
        <f t="shared" si="8"/>
        <v>17691.315200000001</v>
      </c>
      <c r="X10" s="175">
        <f t="shared" si="1"/>
        <v>29.696960000000001</v>
      </c>
      <c r="Y10" s="175">
        <f t="shared" si="2"/>
        <v>61769.676800000001</v>
      </c>
      <c r="Z10" s="175">
        <f t="shared" si="3"/>
        <v>18222.054656</v>
      </c>
      <c r="AA10" s="176">
        <f t="shared" si="4"/>
        <v>30.587868799999999</v>
      </c>
      <c r="AB10" s="176">
        <f t="shared" si="5"/>
        <v>63622.767103999999</v>
      </c>
      <c r="AC10" s="176">
        <f t="shared" si="6"/>
        <v>18768.716295679998</v>
      </c>
      <c r="AD10" s="135"/>
    </row>
    <row r="11" spans="1:30" ht="30.75" thickBot="1" x14ac:dyDescent="0.3">
      <c r="A11" s="32" t="s">
        <v>43</v>
      </c>
      <c r="B11" s="239" t="s">
        <v>240</v>
      </c>
      <c r="C11" s="239">
        <v>11107</v>
      </c>
      <c r="D11" s="33">
        <v>21.08</v>
      </c>
      <c r="E11" s="30" t="s">
        <v>31</v>
      </c>
      <c r="F11" s="34">
        <v>5.99</v>
      </c>
      <c r="G11" s="35">
        <v>27.07</v>
      </c>
      <c r="H11" s="34">
        <v>41.69</v>
      </c>
      <c r="I11" s="36">
        <v>43846</v>
      </c>
      <c r="J11" s="31" t="s">
        <v>43</v>
      </c>
      <c r="K11" s="28"/>
      <c r="L11" s="28"/>
      <c r="M11" s="28"/>
      <c r="N11" s="28"/>
      <c r="O11" s="139" t="s">
        <v>43</v>
      </c>
      <c r="P11" s="136"/>
      <c r="Q11" s="163">
        <f t="shared" si="7"/>
        <v>22.344799999999999</v>
      </c>
      <c r="R11" s="164">
        <f t="shared" si="9"/>
        <v>6.591715999999999</v>
      </c>
      <c r="S11" s="171" t="s">
        <v>31</v>
      </c>
      <c r="T11" s="165">
        <v>0.29499999999999998</v>
      </c>
      <c r="U11" s="164">
        <f t="shared" si="0"/>
        <v>28.936515999999997</v>
      </c>
      <c r="V11" s="164">
        <f t="shared" si="10"/>
        <v>46477.184000000001</v>
      </c>
      <c r="W11" s="164">
        <f t="shared" si="8"/>
        <v>13710.76928</v>
      </c>
      <c r="X11" s="175">
        <f t="shared" si="1"/>
        <v>23.015143999999999</v>
      </c>
      <c r="Y11" s="175">
        <f t="shared" si="2"/>
        <v>47871.499519999998</v>
      </c>
      <c r="Z11" s="175">
        <f t="shared" si="3"/>
        <v>14122.092358399999</v>
      </c>
      <c r="AA11" s="176">
        <f t="shared" si="4"/>
        <v>23.70559832</v>
      </c>
      <c r="AB11" s="176">
        <f t="shared" si="5"/>
        <v>49307.644505600001</v>
      </c>
      <c r="AC11" s="176">
        <f t="shared" si="6"/>
        <v>14545.755129151999</v>
      </c>
      <c r="AD11" s="135"/>
    </row>
    <row r="12" spans="1:30" ht="30.75" thickBot="1" x14ac:dyDescent="0.3">
      <c r="A12" s="32" t="s">
        <v>44</v>
      </c>
      <c r="B12" s="239" t="s">
        <v>241</v>
      </c>
      <c r="C12" s="239">
        <v>11107</v>
      </c>
      <c r="D12" s="33">
        <v>30.01</v>
      </c>
      <c r="E12" s="30" t="s">
        <v>31</v>
      </c>
      <c r="F12" s="34">
        <v>8.52</v>
      </c>
      <c r="G12" s="35">
        <v>38.53</v>
      </c>
      <c r="H12" s="34">
        <v>59.34</v>
      </c>
      <c r="I12" s="36">
        <v>62421</v>
      </c>
      <c r="J12" s="31" t="s">
        <v>44</v>
      </c>
      <c r="K12" s="28"/>
      <c r="L12" s="28"/>
      <c r="M12" s="28"/>
      <c r="N12" s="28"/>
      <c r="O12" s="139" t="s">
        <v>44</v>
      </c>
      <c r="P12" s="136"/>
      <c r="Q12" s="163">
        <f t="shared" si="7"/>
        <v>31.810600000000001</v>
      </c>
      <c r="R12" s="164">
        <f t="shared" si="9"/>
        <v>9.3841269999999994</v>
      </c>
      <c r="S12" s="171" t="s">
        <v>31</v>
      </c>
      <c r="T12" s="165">
        <v>0.29499999999999998</v>
      </c>
      <c r="U12" s="166">
        <f t="shared" si="0"/>
        <v>41.194727</v>
      </c>
      <c r="V12" s="164">
        <f t="shared" si="10"/>
        <v>66166.047999999995</v>
      </c>
      <c r="W12" s="164">
        <f t="shared" si="8"/>
        <v>19518.984159999996</v>
      </c>
      <c r="X12" s="175">
        <f t="shared" si="1"/>
        <v>32.764918000000002</v>
      </c>
      <c r="Y12" s="175">
        <f t="shared" si="2"/>
        <v>68151.029439999998</v>
      </c>
      <c r="Z12" s="175">
        <f t="shared" si="3"/>
        <v>20104.553684799997</v>
      </c>
      <c r="AA12" s="176">
        <f t="shared" si="4"/>
        <v>33.747865539999999</v>
      </c>
      <c r="AB12" s="176">
        <f t="shared" si="5"/>
        <v>70195.560323199999</v>
      </c>
      <c r="AC12" s="176">
        <f t="shared" si="6"/>
        <v>20707.690295344</v>
      </c>
      <c r="AD12" s="135"/>
    </row>
    <row r="13" spans="1:30" ht="30.75" thickBot="1" x14ac:dyDescent="0.3">
      <c r="A13" s="32" t="s">
        <v>45</v>
      </c>
      <c r="B13" s="239" t="s">
        <v>242</v>
      </c>
      <c r="C13" s="239">
        <v>11107</v>
      </c>
      <c r="D13" s="33">
        <v>28.78</v>
      </c>
      <c r="E13" s="30" t="s">
        <v>31</v>
      </c>
      <c r="F13" s="34">
        <v>8.17</v>
      </c>
      <c r="G13" s="35">
        <v>36.950000000000003</v>
      </c>
      <c r="H13" s="34">
        <v>56.9</v>
      </c>
      <c r="I13" s="36">
        <v>59862</v>
      </c>
      <c r="J13" s="31" t="s">
        <v>45</v>
      </c>
      <c r="K13" s="28"/>
      <c r="L13" s="28"/>
      <c r="M13" s="28"/>
      <c r="N13" s="28"/>
      <c r="O13" s="139" t="s">
        <v>45</v>
      </c>
      <c r="P13" s="136"/>
      <c r="Q13" s="163">
        <f t="shared" si="7"/>
        <v>30.506800000000002</v>
      </c>
      <c r="R13" s="164">
        <f t="shared" si="9"/>
        <v>8.9995060000000002</v>
      </c>
      <c r="S13" s="171" t="s">
        <v>31</v>
      </c>
      <c r="T13" s="165">
        <v>0.29499999999999998</v>
      </c>
      <c r="U13" s="164">
        <f t="shared" si="0"/>
        <v>39.506306000000002</v>
      </c>
      <c r="V13" s="164">
        <f t="shared" si="10"/>
        <v>63454.144000000008</v>
      </c>
      <c r="W13" s="164">
        <f t="shared" si="8"/>
        <v>18718.97248</v>
      </c>
      <c r="X13" s="175">
        <f t="shared" si="1"/>
        <v>31.422004000000001</v>
      </c>
      <c r="Y13" s="175">
        <f t="shared" si="2"/>
        <v>65357.768320000003</v>
      </c>
      <c r="Z13" s="175">
        <f t="shared" si="3"/>
        <v>19280.5416544</v>
      </c>
      <c r="AA13" s="176">
        <f t="shared" si="4"/>
        <v>32.36466412</v>
      </c>
      <c r="AB13" s="176">
        <f t="shared" si="5"/>
        <v>67318.501369599995</v>
      </c>
      <c r="AC13" s="176">
        <f t="shared" si="6"/>
        <v>19858.957904031999</v>
      </c>
      <c r="AD13" s="135"/>
    </row>
    <row r="14" spans="1:30" ht="30.75" thickBot="1" x14ac:dyDescent="0.3">
      <c r="A14" s="32" t="s">
        <v>46</v>
      </c>
      <c r="B14" s="239" t="s">
        <v>243</v>
      </c>
      <c r="C14" s="239">
        <v>11107</v>
      </c>
      <c r="D14" s="33">
        <v>21.57</v>
      </c>
      <c r="E14" s="30" t="s">
        <v>31</v>
      </c>
      <c r="F14" s="34">
        <v>6.13</v>
      </c>
      <c r="G14" s="35">
        <v>27.7</v>
      </c>
      <c r="H14" s="34">
        <v>42.66</v>
      </c>
      <c r="I14" s="36">
        <v>44866</v>
      </c>
      <c r="J14" s="31" t="s">
        <v>46</v>
      </c>
      <c r="K14" s="28"/>
      <c r="L14" s="28"/>
      <c r="M14" s="28"/>
      <c r="N14" s="28"/>
      <c r="O14" s="139" t="s">
        <v>46</v>
      </c>
      <c r="P14" s="136"/>
      <c r="Q14" s="163">
        <f t="shared" si="7"/>
        <v>22.8642</v>
      </c>
      <c r="R14" s="164">
        <f t="shared" si="9"/>
        <v>6.7449389999999996</v>
      </c>
      <c r="S14" s="171" t="s">
        <v>31</v>
      </c>
      <c r="T14" s="165">
        <v>0.29499999999999998</v>
      </c>
      <c r="U14" s="166">
        <f t="shared" si="0"/>
        <v>29.609138999999999</v>
      </c>
      <c r="V14" s="164">
        <f t="shared" si="10"/>
        <v>47557.536</v>
      </c>
      <c r="W14" s="164">
        <f t="shared" si="8"/>
        <v>14029.473119999999</v>
      </c>
      <c r="X14" s="175">
        <f t="shared" si="1"/>
        <v>23.550125999999999</v>
      </c>
      <c r="Y14" s="175">
        <f t="shared" si="2"/>
        <v>48984.26208</v>
      </c>
      <c r="Z14" s="175">
        <f t="shared" si="3"/>
        <v>14450.3573136</v>
      </c>
      <c r="AA14" s="176">
        <f t="shared" si="4"/>
        <v>24.256629779999997</v>
      </c>
      <c r="AB14" s="176">
        <f t="shared" si="5"/>
        <v>50453.789942399992</v>
      </c>
      <c r="AC14" s="176">
        <f t="shared" si="6"/>
        <v>14883.868033007997</v>
      </c>
      <c r="AD14" s="135"/>
    </row>
    <row r="15" spans="1:30" ht="30.75" thickBot="1" x14ac:dyDescent="0.3">
      <c r="A15" s="32" t="s">
        <v>47</v>
      </c>
      <c r="B15" s="239" t="s">
        <v>244</v>
      </c>
      <c r="C15" s="239">
        <v>11107</v>
      </c>
      <c r="D15" s="33">
        <v>34.090000000000003</v>
      </c>
      <c r="E15" s="30" t="s">
        <v>32</v>
      </c>
      <c r="F15" s="34">
        <v>11.66</v>
      </c>
      <c r="G15" s="35">
        <v>45.75</v>
      </c>
      <c r="H15" s="34">
        <v>70.459999999999994</v>
      </c>
      <c r="I15" s="36">
        <v>70907</v>
      </c>
      <c r="J15" s="31" t="s">
        <v>47</v>
      </c>
      <c r="K15" s="28"/>
      <c r="L15" s="28"/>
      <c r="M15" s="28"/>
      <c r="N15" s="28"/>
      <c r="O15" s="139" t="s">
        <v>47</v>
      </c>
      <c r="P15" s="136"/>
      <c r="Q15" s="163">
        <f t="shared" si="7"/>
        <v>36.135400000000004</v>
      </c>
      <c r="R15" s="166">
        <f t="shared" si="9"/>
        <v>13.008744000000002</v>
      </c>
      <c r="S15" s="171" t="s">
        <v>32</v>
      </c>
      <c r="T15" s="165">
        <v>0.36</v>
      </c>
      <c r="U15" s="164">
        <f t="shared" si="0"/>
        <v>49.144144000000004</v>
      </c>
      <c r="V15" s="164">
        <f t="shared" si="10"/>
        <v>75161.632000000012</v>
      </c>
      <c r="W15" s="164">
        <f t="shared" si="8"/>
        <v>27058.187520000003</v>
      </c>
      <c r="X15" s="175">
        <f t="shared" si="1"/>
        <v>37.219462000000007</v>
      </c>
      <c r="Y15" s="175">
        <f t="shared" si="2"/>
        <v>77416.480960000015</v>
      </c>
      <c r="Z15" s="175">
        <f t="shared" si="3"/>
        <v>27869.933145600004</v>
      </c>
      <c r="AA15" s="176">
        <f t="shared" si="4"/>
        <v>38.336045860000006</v>
      </c>
      <c r="AB15" s="176">
        <f t="shared" si="5"/>
        <v>79738.975388800012</v>
      </c>
      <c r="AC15" s="176">
        <f t="shared" si="6"/>
        <v>28706.031139968003</v>
      </c>
      <c r="AD15" s="135"/>
    </row>
    <row r="16" spans="1:30" ht="30.75" thickBot="1" x14ac:dyDescent="0.3">
      <c r="A16" s="32" t="s">
        <v>48</v>
      </c>
      <c r="B16" s="239" t="s">
        <v>245</v>
      </c>
      <c r="C16" s="239">
        <v>11107</v>
      </c>
      <c r="D16" s="33">
        <v>28.52</v>
      </c>
      <c r="E16" s="30" t="s">
        <v>31</v>
      </c>
      <c r="F16" s="34">
        <v>8.1</v>
      </c>
      <c r="G16" s="35">
        <v>36.619999999999997</v>
      </c>
      <c r="H16" s="34">
        <v>56.39</v>
      </c>
      <c r="I16" s="36">
        <v>59322</v>
      </c>
      <c r="J16" s="31" t="s">
        <v>48</v>
      </c>
      <c r="K16" s="28"/>
      <c r="L16" s="28"/>
      <c r="M16" s="28"/>
      <c r="N16" s="28"/>
      <c r="O16" s="139" t="s">
        <v>48</v>
      </c>
      <c r="P16" s="136"/>
      <c r="Q16" s="170">
        <f t="shared" si="7"/>
        <v>30.231200000000001</v>
      </c>
      <c r="R16" s="164">
        <f t="shared" si="9"/>
        <v>8.9182039999999994</v>
      </c>
      <c r="S16" s="171" t="s">
        <v>31</v>
      </c>
      <c r="T16" s="165">
        <v>0.29499999999999998</v>
      </c>
      <c r="U16" s="164">
        <f t="shared" si="0"/>
        <v>39.149404000000004</v>
      </c>
      <c r="V16" s="164">
        <f t="shared" si="10"/>
        <v>62880.896000000001</v>
      </c>
      <c r="W16" s="164">
        <f t="shared" si="8"/>
        <v>18549.864320000001</v>
      </c>
      <c r="X16" s="175">
        <f t="shared" si="1"/>
        <v>31.138136000000003</v>
      </c>
      <c r="Y16" s="175">
        <f t="shared" si="2"/>
        <v>64767.322880000007</v>
      </c>
      <c r="Z16" s="175">
        <f t="shared" si="3"/>
        <v>19106.360249600002</v>
      </c>
      <c r="AA16" s="176">
        <f t="shared" si="4"/>
        <v>32.072280080000006</v>
      </c>
      <c r="AB16" s="176">
        <f t="shared" si="5"/>
        <v>66710.34256640001</v>
      </c>
      <c r="AC16" s="176">
        <f t="shared" si="6"/>
        <v>19679.551057088003</v>
      </c>
      <c r="AD16" s="135"/>
    </row>
    <row r="17" spans="1:30" ht="30.75" thickBot="1" x14ac:dyDescent="0.3">
      <c r="A17" s="32" t="s">
        <v>49</v>
      </c>
      <c r="B17" s="239" t="s">
        <v>246</v>
      </c>
      <c r="C17" s="239">
        <v>11107</v>
      </c>
      <c r="D17" s="33">
        <v>52.73</v>
      </c>
      <c r="E17" s="30" t="s">
        <v>32</v>
      </c>
      <c r="F17" s="34">
        <v>18.03</v>
      </c>
      <c r="G17" s="35">
        <v>70.760000000000005</v>
      </c>
      <c r="H17" s="34">
        <v>108.97</v>
      </c>
      <c r="I17" s="36">
        <v>109678</v>
      </c>
      <c r="J17" s="31" t="s">
        <v>49</v>
      </c>
      <c r="K17" s="28"/>
      <c r="L17" s="28"/>
      <c r="M17" s="28"/>
      <c r="N17" s="28"/>
      <c r="O17" s="139" t="s">
        <v>49</v>
      </c>
      <c r="P17" s="136"/>
      <c r="Q17" s="163">
        <f t="shared" si="7"/>
        <v>55.893799999999999</v>
      </c>
      <c r="R17" s="164">
        <f t="shared" si="9"/>
        <v>20.121767999999999</v>
      </c>
      <c r="S17" s="171" t="s">
        <v>32</v>
      </c>
      <c r="T17" s="165">
        <v>0.36</v>
      </c>
      <c r="U17" s="164">
        <f t="shared" si="0"/>
        <v>76.015568000000002</v>
      </c>
      <c r="V17" s="164">
        <f t="shared" si="10"/>
        <v>116259.10399999999</v>
      </c>
      <c r="W17" s="164">
        <f t="shared" si="8"/>
        <v>41853.277439999998</v>
      </c>
      <c r="X17" s="175">
        <f t="shared" si="1"/>
        <v>57.570613999999999</v>
      </c>
      <c r="Y17" s="175">
        <f t="shared" si="2"/>
        <v>119746.87712</v>
      </c>
      <c r="Z17" s="175">
        <f t="shared" si="3"/>
        <v>43108.875763199998</v>
      </c>
      <c r="AA17" s="176">
        <f t="shared" si="4"/>
        <v>59.297732419999996</v>
      </c>
      <c r="AB17" s="176">
        <f t="shared" si="5"/>
        <v>123339.28343359999</v>
      </c>
      <c r="AC17" s="176">
        <f t="shared" si="6"/>
        <v>44402.142036095996</v>
      </c>
      <c r="AD17" s="135"/>
    </row>
    <row r="18" spans="1:30" ht="30.75" thickBot="1" x14ac:dyDescent="0.3">
      <c r="A18" s="32" t="s">
        <v>50</v>
      </c>
      <c r="B18" s="239" t="s">
        <v>247</v>
      </c>
      <c r="C18" s="239">
        <v>11107</v>
      </c>
      <c r="D18" s="33">
        <v>21.31</v>
      </c>
      <c r="E18" s="30" t="s">
        <v>31</v>
      </c>
      <c r="F18" s="34">
        <v>6.05</v>
      </c>
      <c r="G18" s="35">
        <v>27.36</v>
      </c>
      <c r="H18" s="34">
        <v>42.13</v>
      </c>
      <c r="I18" s="36">
        <v>44325</v>
      </c>
      <c r="J18" s="31" t="s">
        <v>50</v>
      </c>
      <c r="K18" s="28"/>
      <c r="L18" s="28"/>
      <c r="M18" s="28"/>
      <c r="N18" s="28"/>
      <c r="O18" s="139" t="s">
        <v>50</v>
      </c>
      <c r="P18" s="136"/>
      <c r="Q18" s="163">
        <f t="shared" si="7"/>
        <v>22.5886</v>
      </c>
      <c r="R18" s="164">
        <f t="shared" si="9"/>
        <v>6.6636369999999996</v>
      </c>
      <c r="S18" s="171" t="s">
        <v>31</v>
      </c>
      <c r="T18" s="165">
        <v>0.29499999999999998</v>
      </c>
      <c r="U18" s="164">
        <f t="shared" si="0"/>
        <v>29.252237000000001</v>
      </c>
      <c r="V18" s="164">
        <f t="shared" si="10"/>
        <v>46984.288</v>
      </c>
      <c r="W18" s="166">
        <f t="shared" si="8"/>
        <v>13860.364959999999</v>
      </c>
      <c r="X18" s="175">
        <f t="shared" si="1"/>
        <v>23.266258000000001</v>
      </c>
      <c r="Y18" s="175">
        <f t="shared" si="2"/>
        <v>48393.816640000005</v>
      </c>
      <c r="Z18" s="175">
        <f t="shared" si="3"/>
        <v>14276.1759088</v>
      </c>
      <c r="AA18" s="176">
        <f t="shared" si="4"/>
        <v>23.964245739999999</v>
      </c>
      <c r="AB18" s="176">
        <f t="shared" si="5"/>
        <v>49845.631139199999</v>
      </c>
      <c r="AC18" s="176">
        <f t="shared" si="6"/>
        <v>14704.461186064</v>
      </c>
      <c r="AD18" s="135"/>
    </row>
    <row r="19" spans="1:30" ht="30.75" thickBot="1" x14ac:dyDescent="0.3">
      <c r="A19" s="32" t="s">
        <v>51</v>
      </c>
      <c r="B19" s="239" t="s">
        <v>248</v>
      </c>
      <c r="C19" s="239">
        <v>11107</v>
      </c>
      <c r="D19" s="33">
        <v>25.4</v>
      </c>
      <c r="E19" s="30" t="s">
        <v>31</v>
      </c>
      <c r="F19" s="34">
        <v>7.21</v>
      </c>
      <c r="G19" s="35">
        <v>32.61</v>
      </c>
      <c r="H19" s="34">
        <v>50.22</v>
      </c>
      <c r="I19" s="36">
        <v>52832</v>
      </c>
      <c r="J19" s="31" t="s">
        <v>51</v>
      </c>
      <c r="K19" s="28"/>
      <c r="L19" s="28"/>
      <c r="M19" s="28"/>
      <c r="N19" s="28"/>
      <c r="O19" s="139" t="s">
        <v>51</v>
      </c>
      <c r="P19" s="141"/>
      <c r="Q19" s="163">
        <f t="shared" si="7"/>
        <v>26.923999999999999</v>
      </c>
      <c r="R19" s="164">
        <f t="shared" si="9"/>
        <v>7.9425799999999995</v>
      </c>
      <c r="S19" s="172" t="s">
        <v>31</v>
      </c>
      <c r="T19" s="173">
        <v>0.29499999999999998</v>
      </c>
      <c r="U19" s="164">
        <f t="shared" si="0"/>
        <v>34.866579999999999</v>
      </c>
      <c r="V19" s="164">
        <f t="shared" si="10"/>
        <v>56001.919999999998</v>
      </c>
      <c r="W19" s="164">
        <f t="shared" si="8"/>
        <v>16520.5664</v>
      </c>
      <c r="X19" s="175">
        <f t="shared" si="1"/>
        <v>27.731719999999999</v>
      </c>
      <c r="Y19" s="175">
        <f t="shared" si="2"/>
        <v>57681.977599999998</v>
      </c>
      <c r="Z19" s="175">
        <f t="shared" si="3"/>
        <v>17016.183391999999</v>
      </c>
      <c r="AA19" s="176">
        <f t="shared" si="4"/>
        <v>28.563671599999999</v>
      </c>
      <c r="AB19" s="176">
        <f t="shared" si="5"/>
        <v>59412.436927999996</v>
      </c>
      <c r="AC19" s="176">
        <f t="shared" si="6"/>
        <v>17526.668893759997</v>
      </c>
      <c r="AD19" s="135"/>
    </row>
    <row r="20" spans="1:30" ht="30.75" thickBot="1" x14ac:dyDescent="0.3">
      <c r="A20" s="32" t="s">
        <v>52</v>
      </c>
      <c r="B20" s="239" t="s">
        <v>249</v>
      </c>
      <c r="C20" s="239">
        <v>11107</v>
      </c>
      <c r="D20" s="33">
        <v>41.8</v>
      </c>
      <c r="E20" s="30" t="s">
        <v>35</v>
      </c>
      <c r="F20" s="34">
        <v>3.22</v>
      </c>
      <c r="G20" s="35">
        <v>45.02</v>
      </c>
      <c r="H20" s="34">
        <v>69.33</v>
      </c>
      <c r="I20" s="36">
        <v>86944</v>
      </c>
      <c r="J20" s="31" t="s">
        <v>52</v>
      </c>
      <c r="K20" s="28"/>
      <c r="L20" s="28"/>
      <c r="M20" s="28"/>
      <c r="N20" s="28"/>
      <c r="O20" s="139" t="s">
        <v>52</v>
      </c>
      <c r="P20" s="136"/>
      <c r="Q20" s="163">
        <f t="shared" si="7"/>
        <v>44.308</v>
      </c>
      <c r="R20" s="166">
        <f t="shared" si="9"/>
        <v>0</v>
      </c>
      <c r="S20" s="171" t="s">
        <v>35</v>
      </c>
      <c r="T20" s="163"/>
      <c r="U20" s="164">
        <f t="shared" si="0"/>
        <v>44.308</v>
      </c>
      <c r="V20" s="164">
        <f t="shared" si="10"/>
        <v>92160.639999999999</v>
      </c>
      <c r="W20" s="164">
        <f t="shared" si="8"/>
        <v>0</v>
      </c>
      <c r="X20" s="175">
        <f t="shared" si="1"/>
        <v>45.637239999999998</v>
      </c>
      <c r="Y20" s="175">
        <f t="shared" si="2"/>
        <v>94925.459199999998</v>
      </c>
      <c r="Z20" s="175">
        <f t="shared" si="3"/>
        <v>0</v>
      </c>
      <c r="AA20" s="176">
        <f t="shared" si="4"/>
        <v>47.006357199999997</v>
      </c>
      <c r="AB20" s="176">
        <f t="shared" si="5"/>
        <v>97773.22297599999</v>
      </c>
      <c r="AC20" s="176">
        <f t="shared" si="6"/>
        <v>0</v>
      </c>
    </row>
    <row r="21" spans="1:30" ht="30.75" thickBot="1" x14ac:dyDescent="0.3">
      <c r="A21" s="32" t="s">
        <v>53</v>
      </c>
      <c r="B21" s="239" t="s">
        <v>250</v>
      </c>
      <c r="C21" s="239">
        <v>11107</v>
      </c>
      <c r="D21" s="33">
        <v>26.38</v>
      </c>
      <c r="E21" s="30" t="s">
        <v>31</v>
      </c>
      <c r="F21" s="34">
        <v>7.49</v>
      </c>
      <c r="G21" s="35">
        <v>33.869999999999997</v>
      </c>
      <c r="H21" s="34">
        <v>52.16</v>
      </c>
      <c r="I21" s="36">
        <v>54870</v>
      </c>
      <c r="J21" s="31" t="s">
        <v>53</v>
      </c>
      <c r="K21" s="28"/>
      <c r="L21" s="28"/>
      <c r="M21" s="28"/>
      <c r="N21" s="28"/>
      <c r="O21" s="139" t="s">
        <v>53</v>
      </c>
      <c r="P21" s="136"/>
      <c r="Q21" s="163">
        <f t="shared" si="7"/>
        <v>27.962799999999998</v>
      </c>
      <c r="R21" s="164">
        <f t="shared" si="9"/>
        <v>8.2490259999999989</v>
      </c>
      <c r="S21" s="171" t="s">
        <v>31</v>
      </c>
      <c r="T21" s="165">
        <v>0.29499999999999998</v>
      </c>
      <c r="U21" s="164">
        <f t="shared" si="0"/>
        <v>36.211825999999995</v>
      </c>
      <c r="V21" s="164">
        <f t="shared" si="10"/>
        <v>58162.623999999996</v>
      </c>
      <c r="W21" s="164">
        <f t="shared" si="8"/>
        <v>17157.974079999996</v>
      </c>
      <c r="X21" s="175">
        <f t="shared" si="1"/>
        <v>28.801683999999998</v>
      </c>
      <c r="Y21" s="175">
        <f t="shared" si="2"/>
        <v>59907.502719999997</v>
      </c>
      <c r="Z21" s="175">
        <f t="shared" si="3"/>
        <v>17672.7133024</v>
      </c>
      <c r="AA21" s="176">
        <f t="shared" si="4"/>
        <v>29.665734519999997</v>
      </c>
      <c r="AB21" s="176">
        <f t="shared" si="5"/>
        <v>61704.727801599991</v>
      </c>
      <c r="AC21" s="176">
        <f t="shared" si="6"/>
        <v>18202.894701471996</v>
      </c>
    </row>
    <row r="22" spans="1:30" ht="15.75" thickBot="1" x14ac:dyDescent="0.3">
      <c r="A22" s="32" t="s">
        <v>9</v>
      </c>
      <c r="B22" s="239"/>
      <c r="C22" s="239"/>
      <c r="D22" s="33">
        <v>11</v>
      </c>
      <c r="E22" s="30" t="s">
        <v>42</v>
      </c>
      <c r="F22" s="34">
        <v>0</v>
      </c>
      <c r="G22" s="35">
        <v>11</v>
      </c>
      <c r="H22" s="34">
        <v>16.940000000000001</v>
      </c>
      <c r="I22" s="36">
        <v>22880</v>
      </c>
      <c r="J22" s="31" t="s">
        <v>9</v>
      </c>
      <c r="K22" s="28"/>
      <c r="L22" s="28"/>
      <c r="M22" s="28"/>
      <c r="N22" s="28"/>
      <c r="O22" s="139" t="s">
        <v>9</v>
      </c>
      <c r="P22" s="136"/>
      <c r="Q22" s="163">
        <f t="shared" si="7"/>
        <v>11.66</v>
      </c>
      <c r="R22" s="164">
        <f t="shared" si="9"/>
        <v>0</v>
      </c>
      <c r="S22" s="171" t="s">
        <v>42</v>
      </c>
      <c r="T22" s="174">
        <v>0</v>
      </c>
      <c r="U22" s="166">
        <f t="shared" si="0"/>
        <v>11.66</v>
      </c>
      <c r="V22" s="164">
        <f t="shared" si="10"/>
        <v>24252.799999999999</v>
      </c>
      <c r="W22" s="164">
        <f t="shared" si="8"/>
        <v>0</v>
      </c>
      <c r="X22" s="175">
        <f t="shared" si="1"/>
        <v>12.0098</v>
      </c>
      <c r="Y22" s="175">
        <f t="shared" si="2"/>
        <v>24980.384000000002</v>
      </c>
      <c r="Z22" s="175">
        <f t="shared" si="3"/>
        <v>0</v>
      </c>
      <c r="AA22" s="176">
        <f t="shared" si="4"/>
        <v>12.370094</v>
      </c>
      <c r="AB22" s="176">
        <f t="shared" si="5"/>
        <v>25729.79552</v>
      </c>
      <c r="AC22" s="176">
        <f t="shared" si="6"/>
        <v>0</v>
      </c>
    </row>
    <row r="23" spans="1:30" ht="30.75" thickBot="1" x14ac:dyDescent="0.3">
      <c r="A23" s="32" t="s">
        <v>54</v>
      </c>
      <c r="B23" s="239" t="s">
        <v>251</v>
      </c>
      <c r="C23" s="239">
        <v>11107</v>
      </c>
      <c r="D23" s="33">
        <v>31.56</v>
      </c>
      <c r="E23" s="30" t="s">
        <v>31</v>
      </c>
      <c r="F23" s="34">
        <v>8.9600000000000009</v>
      </c>
      <c r="G23" s="35">
        <v>40.520000000000003</v>
      </c>
      <c r="H23" s="34">
        <v>62.4</v>
      </c>
      <c r="I23" s="36">
        <v>32822</v>
      </c>
      <c r="J23" s="31" t="s">
        <v>54</v>
      </c>
      <c r="K23" s="28"/>
      <c r="L23" s="28"/>
      <c r="M23" s="28"/>
      <c r="N23" s="28"/>
      <c r="O23" s="139" t="s">
        <v>54</v>
      </c>
      <c r="P23" s="142"/>
      <c r="Q23" s="163">
        <f t="shared" si="7"/>
        <v>33.453600000000002</v>
      </c>
      <c r="R23" s="164">
        <f t="shared" si="9"/>
        <v>9.8688120000000001</v>
      </c>
      <c r="S23" s="171" t="s">
        <v>31</v>
      </c>
      <c r="T23" s="165">
        <v>0.29499999999999998</v>
      </c>
      <c r="U23" s="164">
        <f t="shared" si="0"/>
        <v>43.322412</v>
      </c>
      <c r="V23" s="164">
        <f t="shared" si="10"/>
        <v>69583.487999999998</v>
      </c>
      <c r="W23" s="164">
        <f t="shared" si="8"/>
        <v>20527.128959999998</v>
      </c>
      <c r="X23" s="175">
        <f t="shared" si="1"/>
        <v>34.457208000000001</v>
      </c>
      <c r="Y23" s="175">
        <f t="shared" si="2"/>
        <v>71670.992639999997</v>
      </c>
      <c r="Z23" s="175">
        <f t="shared" si="3"/>
        <v>21142.942828799998</v>
      </c>
      <c r="AA23" s="176">
        <f t="shared" si="4"/>
        <v>35.490924239999998</v>
      </c>
      <c r="AB23" s="176">
        <f t="shared" si="5"/>
        <v>73821.122419199994</v>
      </c>
      <c r="AC23" s="176">
        <f t="shared" si="6"/>
        <v>21777.231113663998</v>
      </c>
    </row>
    <row r="24" spans="1:30" ht="15.75" thickBot="1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140"/>
      <c r="Q24" s="148"/>
      <c r="S24" s="149"/>
      <c r="T24" s="147"/>
      <c r="U24" s="147"/>
      <c r="V24" s="147"/>
      <c r="W24" s="147"/>
      <c r="X24" s="147"/>
      <c r="Y24" s="146"/>
      <c r="Z24" s="147"/>
      <c r="AA24" s="147"/>
      <c r="AB24" s="143"/>
      <c r="AC24" s="140"/>
    </row>
    <row r="25" spans="1:30" ht="15.75" thickBot="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134"/>
      <c r="R25" s="147"/>
      <c r="S25" s="135"/>
      <c r="T25" s="140"/>
      <c r="U25" s="140"/>
      <c r="V25" s="140"/>
      <c r="W25" s="140"/>
      <c r="X25" s="140"/>
      <c r="Y25" s="28"/>
      <c r="Z25" s="140"/>
      <c r="AA25" s="140"/>
      <c r="AB25" s="28"/>
      <c r="AC25" s="28"/>
    </row>
    <row r="26" spans="1:30" ht="15.75" thickBot="1" x14ac:dyDescent="0.3">
      <c r="A26" s="28" t="s">
        <v>55</v>
      </c>
      <c r="B26" s="28"/>
      <c r="C26" s="28"/>
      <c r="D26" s="41">
        <v>0.54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140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spans="1:30" ht="15.75" thickBot="1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30" ht="15.75" thickBot="1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30" ht="15.75" thickBot="1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30" ht="15.75" thickBot="1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30" ht="15.75" thickBot="1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30" ht="15.75" thickBot="1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29" ht="15.75" thickBot="1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29" ht="15.75" thickBot="1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15.75" thickBot="1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thickBot="1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thickBot="1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thickBot="1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thickBot="1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thickBot="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thickBo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thickBot="1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thickBot="1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thickBot="1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thickBot="1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thickBo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thickBot="1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thickBot="1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thickBot="1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15.75" thickBot="1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spans="1:29" ht="15.75" thickBot="1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spans="1:29" ht="15.75" thickBot="1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spans="1:29" ht="15.75" thickBot="1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spans="1:29" ht="15.75" thickBot="1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spans="1:29" ht="15.75" thickBot="1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  <row r="56" spans="1:29" ht="15.75" thickBot="1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</row>
    <row r="57" spans="1:29" ht="15.75" thickBot="1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spans="1:29" ht="15.75" thickBot="1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</row>
    <row r="59" spans="1:29" ht="15.75" thickBo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spans="1:29" ht="15.75" thickBot="1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</row>
    <row r="61" spans="1:29" ht="15.75" thickBot="1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</row>
    <row r="62" spans="1:29" ht="15.75" thickBot="1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spans="1:29" ht="15.75" thickBot="1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spans="1:29" ht="15.75" thickBot="1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1:29" ht="15.75" thickBot="1" x14ac:dyDescent="0.3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1:29" ht="15.75" thickBot="1" x14ac:dyDescent="0.3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spans="1:29" ht="15.75" thickBo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spans="1:29" ht="15.75" thickBo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spans="1:29" ht="15.75" thickBot="1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spans="1:29" ht="15.75" thickBot="1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spans="1:29" ht="15.75" thickBot="1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spans="1:29" ht="15.75" thickBot="1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spans="1:29" ht="15.75" thickBot="1" x14ac:dyDescent="0.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spans="1:29" ht="15.75" thickBot="1" x14ac:dyDescent="0.3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spans="1:29" ht="15.75" thickBot="1" x14ac:dyDescent="0.3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spans="1:29" ht="15.75" thickBot="1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spans="1:29" ht="15.75" thickBot="1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spans="1:29" ht="15.75" thickBot="1" x14ac:dyDescent="0.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1:29" ht="15.75" thickBot="1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spans="1:29" ht="15.75" thickBot="1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spans="1:29" ht="15.75" thickBot="1" x14ac:dyDescent="0.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spans="1:29" ht="15.75" thickBot="1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spans="1:29" ht="15.75" thickBot="1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1:29" ht="15.75" thickBot="1" x14ac:dyDescent="0.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spans="1:29" ht="15.75" thickBot="1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spans="1:29" ht="15.75" thickBot="1" x14ac:dyDescent="0.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spans="1:29" ht="15.75" thickBot="1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</row>
    <row r="88" spans="1:29" ht="15.75" thickBot="1" x14ac:dyDescent="0.3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</row>
    <row r="89" spans="1:29" ht="15.75" thickBot="1" x14ac:dyDescent="0.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spans="1:29" ht="15.75" thickBot="1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</row>
    <row r="91" spans="1:29" ht="15.75" thickBot="1" x14ac:dyDescent="0.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</row>
    <row r="92" spans="1:29" ht="15.75" thickBot="1" x14ac:dyDescent="0.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</row>
    <row r="93" spans="1:29" ht="15.75" thickBot="1" x14ac:dyDescent="0.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</row>
    <row r="94" spans="1:29" ht="15.75" thickBot="1" x14ac:dyDescent="0.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spans="1:29" ht="15.75" thickBot="1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spans="1:29" ht="15.75" thickBot="1" x14ac:dyDescent="0.3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spans="1:29" ht="15.75" thickBot="1" x14ac:dyDescent="0.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spans="1:29" ht="15.75" thickBot="1" x14ac:dyDescent="0.3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spans="1:29" ht="15.75" thickBot="1" x14ac:dyDescent="0.3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spans="1:29" ht="15.75" thickBot="1" x14ac:dyDescent="0.3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spans="1:29" ht="15.75" thickBot="1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spans="1:29" ht="15.75" thickBot="1" x14ac:dyDescent="0.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spans="1:29" ht="15.75" thickBot="1" x14ac:dyDescent="0.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spans="1:29" ht="15.75" thickBot="1" x14ac:dyDescent="0.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spans="1:29" ht="15.75" thickBot="1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spans="1:29" ht="15.75" thickBot="1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spans="1:29" ht="15.75" thickBot="1" x14ac:dyDescent="0.3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spans="1:29" ht="15.75" thickBot="1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ht="15.75" thickBot="1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spans="1:29" ht="15.75" thickBot="1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spans="1:29" ht="15.75" thickBot="1" x14ac:dyDescent="0.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spans="1:29" ht="15.75" thickBot="1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</row>
    <row r="113" spans="1:29" ht="15.75" thickBot="1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spans="1:29" ht="15.75" thickBot="1" x14ac:dyDescent="0.3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</row>
    <row r="115" spans="1:29" ht="15.75" thickBot="1" x14ac:dyDescent="0.3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spans="1:29" ht="15.75" thickBot="1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</row>
    <row r="117" spans="1:29" ht="15.75" thickBot="1" x14ac:dyDescent="0.3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1:29" ht="15.75" thickBot="1" x14ac:dyDescent="0.3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spans="1:29" ht="15.75" thickBot="1" x14ac:dyDescent="0.3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spans="1:29" ht="15.75" thickBot="1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</row>
    <row r="121" spans="1:29" ht="15.75" thickBot="1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spans="1:29" ht="15.75" thickBot="1" x14ac:dyDescent="0.3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spans="1:29" ht="15.75" thickBot="1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spans="1:29" ht="15.75" thickBot="1" x14ac:dyDescent="0.3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spans="1:29" ht="15.75" thickBot="1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spans="1:29" ht="15.75" thickBot="1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spans="1:29" ht="15.75" thickBot="1" x14ac:dyDescent="0.3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spans="1:29" ht="15.75" thickBot="1" x14ac:dyDescent="0.3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</row>
    <row r="129" spans="1:29" ht="15.75" thickBot="1" x14ac:dyDescent="0.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spans="1:29" ht="15.75" thickBot="1" x14ac:dyDescent="0.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1:29" ht="15.75" thickBot="1" x14ac:dyDescent="0.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spans="1:29" ht="15.75" thickBot="1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</row>
    <row r="133" spans="1:29" ht="15.75" thickBot="1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spans="1:29" ht="15.75" thickBot="1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spans="1:29" ht="15.75" thickBot="1" x14ac:dyDescent="0.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1:29" ht="15.75" thickBot="1" x14ac:dyDescent="0.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spans="1:29" ht="15.75" thickBot="1" x14ac:dyDescent="0.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spans="1:29" ht="15.75" thickBot="1" x14ac:dyDescent="0.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1:29" ht="15.75" thickBot="1" x14ac:dyDescent="0.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spans="1:29" ht="15.75" thickBot="1" x14ac:dyDescent="0.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1:29" ht="15.75" thickBot="1" x14ac:dyDescent="0.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spans="1:29" ht="15.75" thickBot="1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spans="1:29" ht="15.75" thickBot="1" x14ac:dyDescent="0.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spans="1:29" ht="15.75" thickBot="1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spans="1:29" ht="15.75" thickBot="1" x14ac:dyDescent="0.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1:29" ht="15.75" thickBot="1" x14ac:dyDescent="0.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spans="1:29" ht="15.75" thickBot="1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spans="1:29" ht="15.75" thickBot="1" x14ac:dyDescent="0.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spans="1:29" ht="15.75" thickBot="1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spans="1:29" ht="15.75" thickBot="1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spans="1:29" ht="15.75" thickBot="1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1:29" ht="15.75" thickBot="1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spans="1:29" ht="15.75" thickBot="1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1:29" ht="15.75" thickBot="1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spans="1:29" ht="15.75" thickBot="1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spans="1:29" ht="15.75" thickBot="1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1:29" ht="15.75" thickBot="1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spans="1:29" ht="15.75" thickBot="1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spans="1:29" ht="15.75" thickBot="1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spans="1:29" ht="15.75" thickBot="1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spans="1:29" ht="15.75" thickBot="1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spans="1:29" ht="15.75" thickBot="1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spans="1:29" ht="15.75" thickBot="1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spans="1:29" ht="15.75" thickBot="1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spans="1:29" ht="15.75" thickBot="1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spans="1:29" ht="15.75" thickBot="1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spans="1:29" ht="15.75" thickBot="1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spans="1:29" ht="15.75" thickBot="1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spans="1:29" ht="15.75" thickBot="1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spans="1:29" ht="15.75" thickBot="1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spans="1:29" ht="15.75" thickBot="1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spans="1:29" ht="15.75" thickBot="1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spans="1:29" ht="15.75" thickBot="1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spans="1:29" ht="15.75" thickBot="1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spans="1:29" ht="15.75" thickBot="1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spans="1:29" ht="15.75" thickBot="1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spans="1:29" ht="15.75" thickBot="1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spans="1:29" ht="15.75" thickBot="1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spans="1:29" ht="15.75" thickBot="1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spans="1:29" ht="15.75" thickBot="1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spans="1:29" ht="15.75" thickBot="1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spans="1:29" ht="15.75" thickBot="1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spans="1:29" ht="15.75" thickBot="1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spans="1:29" ht="15.75" thickBot="1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spans="1:29" ht="15.75" thickBot="1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spans="1:29" ht="15.75" thickBot="1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</row>
    <row r="187" spans="1:29" ht="15.75" thickBot="1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</row>
    <row r="188" spans="1:29" ht="15.75" thickBot="1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</row>
    <row r="189" spans="1:29" ht="15.75" thickBot="1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</row>
    <row r="190" spans="1:29" ht="15.75" thickBot="1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</row>
    <row r="191" spans="1:29" ht="15.75" thickBot="1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</row>
    <row r="192" spans="1:29" ht="15.75" thickBot="1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</row>
    <row r="193" spans="1:29" ht="15.75" thickBot="1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</row>
    <row r="194" spans="1:29" ht="15.75" thickBot="1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</row>
    <row r="195" spans="1:29" ht="15.75" thickBot="1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</row>
    <row r="196" spans="1:29" ht="15.75" thickBot="1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</row>
    <row r="197" spans="1:29" ht="15.75" thickBot="1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</row>
    <row r="198" spans="1:29" ht="15.75" thickBot="1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</row>
    <row r="199" spans="1:29" ht="15.75" thickBot="1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</row>
    <row r="200" spans="1:29" ht="15.75" thickBot="1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</row>
    <row r="201" spans="1:29" ht="15.75" thickBot="1" x14ac:dyDescent="0.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</row>
    <row r="202" spans="1:29" ht="15.75" thickBot="1" x14ac:dyDescent="0.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</row>
    <row r="203" spans="1:29" ht="15.75" thickBot="1" x14ac:dyDescent="0.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</row>
    <row r="204" spans="1:29" ht="15.75" thickBot="1" x14ac:dyDescent="0.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</row>
    <row r="205" spans="1:29" ht="15.75" thickBot="1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</row>
    <row r="206" spans="1:29" ht="15.75" thickBot="1" x14ac:dyDescent="0.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</row>
    <row r="207" spans="1:29" ht="15.75" thickBot="1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</row>
    <row r="208" spans="1:29" ht="15.75" thickBot="1" x14ac:dyDescent="0.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</row>
    <row r="209" spans="1:29" ht="15.75" thickBot="1" x14ac:dyDescent="0.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</row>
    <row r="210" spans="1:29" ht="15.75" thickBot="1" x14ac:dyDescent="0.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</row>
    <row r="211" spans="1:29" ht="15.75" thickBot="1" x14ac:dyDescent="0.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</row>
    <row r="212" spans="1:29" ht="15.75" thickBot="1" x14ac:dyDescent="0.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</row>
    <row r="213" spans="1:29" ht="15.75" thickBot="1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</row>
    <row r="214" spans="1:29" ht="15.75" thickBot="1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</row>
    <row r="215" spans="1:29" ht="15.75" thickBot="1" x14ac:dyDescent="0.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</row>
    <row r="216" spans="1:29" ht="15.75" thickBot="1" x14ac:dyDescent="0.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</row>
    <row r="217" spans="1:29" ht="15.75" thickBot="1" x14ac:dyDescent="0.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</row>
    <row r="218" spans="1:29" ht="15.75" thickBot="1" x14ac:dyDescent="0.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</row>
    <row r="219" spans="1:29" ht="15.75" thickBot="1" x14ac:dyDescent="0.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</row>
    <row r="220" spans="1:29" ht="15.75" thickBot="1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spans="1:29" ht="15.75" thickBot="1" x14ac:dyDescent="0.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</row>
    <row r="222" spans="1:29" ht="15.75" thickBot="1" x14ac:dyDescent="0.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</row>
    <row r="223" spans="1:29" ht="15.75" thickBot="1" x14ac:dyDescent="0.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</row>
    <row r="224" spans="1:29" ht="15.75" thickBot="1" x14ac:dyDescent="0.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</row>
    <row r="225" spans="1:29" ht="15.75" thickBot="1" x14ac:dyDescent="0.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</row>
    <row r="226" spans="1:29" ht="15.75" thickBot="1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</row>
    <row r="227" spans="1:29" ht="15.75" thickBot="1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</row>
    <row r="228" spans="1:29" ht="15.75" thickBot="1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</row>
    <row r="229" spans="1:29" ht="15.75" thickBot="1" x14ac:dyDescent="0.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</row>
    <row r="230" spans="1:29" ht="15.75" thickBot="1" x14ac:dyDescent="0.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</row>
    <row r="231" spans="1:29" ht="15.75" thickBot="1" x14ac:dyDescent="0.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</row>
    <row r="232" spans="1:29" ht="15.75" thickBot="1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</row>
    <row r="233" spans="1:29" ht="15.75" thickBot="1" x14ac:dyDescent="0.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</row>
    <row r="234" spans="1:29" ht="15.75" thickBot="1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</row>
    <row r="235" spans="1:29" ht="15.75" thickBot="1" x14ac:dyDescent="0.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</row>
    <row r="236" spans="1:29" ht="15.75" thickBot="1" x14ac:dyDescent="0.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</row>
    <row r="237" spans="1:29" ht="15.75" thickBot="1" x14ac:dyDescent="0.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</row>
    <row r="238" spans="1:29" ht="15.75" thickBot="1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</row>
    <row r="239" spans="1:29" ht="15.75" thickBot="1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</row>
    <row r="240" spans="1:29" ht="15.75" thickBot="1" x14ac:dyDescent="0.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</row>
    <row r="241" spans="1:29" ht="15.75" thickBot="1" x14ac:dyDescent="0.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</row>
    <row r="242" spans="1:29" ht="15.75" thickBot="1" x14ac:dyDescent="0.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</row>
    <row r="243" spans="1:29" ht="15.75" thickBot="1" x14ac:dyDescent="0.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</row>
    <row r="244" spans="1:29" ht="15.75" thickBot="1" x14ac:dyDescent="0.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</row>
    <row r="245" spans="1:29" ht="15.75" thickBot="1" x14ac:dyDescent="0.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</row>
    <row r="246" spans="1:29" ht="15.75" thickBot="1" x14ac:dyDescent="0.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</row>
    <row r="247" spans="1:29" ht="15.75" thickBot="1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</row>
    <row r="248" spans="1:29" ht="15.75" thickBot="1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</row>
    <row r="249" spans="1:29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</row>
    <row r="250" spans="1:29" ht="15.75" thickBot="1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</row>
    <row r="251" spans="1:29" ht="15.75" thickBot="1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</row>
    <row r="252" spans="1:29" ht="15.75" thickBot="1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</row>
    <row r="253" spans="1:29" ht="15.75" thickBot="1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</row>
    <row r="254" spans="1:29" ht="15.75" thickBot="1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</row>
    <row r="255" spans="1:29" ht="15.75" thickBot="1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</row>
    <row r="256" spans="1:29" ht="15.75" thickBot="1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</row>
    <row r="257" spans="1:29" ht="15.75" thickBot="1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</row>
    <row r="258" spans="1:29" ht="15.75" thickBot="1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</row>
    <row r="259" spans="1:29" ht="15.75" thickBot="1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</row>
    <row r="260" spans="1:29" ht="15.75" thickBot="1" x14ac:dyDescent="0.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</row>
    <row r="261" spans="1:29" ht="15.75" thickBot="1" x14ac:dyDescent="0.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</row>
    <row r="262" spans="1:29" ht="15.75" thickBot="1" x14ac:dyDescent="0.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</row>
    <row r="263" spans="1:29" ht="15.75" thickBot="1" x14ac:dyDescent="0.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</row>
    <row r="264" spans="1:29" ht="15.75" thickBot="1" x14ac:dyDescent="0.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</row>
    <row r="265" spans="1:29" ht="15.75" thickBot="1" x14ac:dyDescent="0.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</row>
    <row r="266" spans="1:29" ht="15.75" thickBot="1" x14ac:dyDescent="0.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</row>
    <row r="267" spans="1:29" ht="15.75" thickBot="1" x14ac:dyDescent="0.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</row>
    <row r="268" spans="1:29" ht="15.75" thickBot="1" x14ac:dyDescent="0.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</row>
    <row r="269" spans="1:29" ht="15.75" thickBot="1" x14ac:dyDescent="0.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</row>
    <row r="270" spans="1:29" ht="15.75" thickBot="1" x14ac:dyDescent="0.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</row>
    <row r="271" spans="1:29" ht="15.75" thickBot="1" x14ac:dyDescent="0.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</row>
    <row r="272" spans="1:29" ht="15.75" thickBot="1" x14ac:dyDescent="0.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</row>
    <row r="273" spans="1:29" ht="15.75" thickBot="1" x14ac:dyDescent="0.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</row>
    <row r="274" spans="1:29" ht="15.75" thickBot="1" x14ac:dyDescent="0.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</row>
    <row r="275" spans="1:29" ht="15.75" thickBot="1" x14ac:dyDescent="0.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</row>
    <row r="276" spans="1:29" ht="15.75" thickBot="1" x14ac:dyDescent="0.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</row>
    <row r="277" spans="1:29" ht="15.75" thickBot="1" x14ac:dyDescent="0.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</row>
    <row r="278" spans="1:29" ht="15.75" thickBot="1" x14ac:dyDescent="0.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</row>
    <row r="279" spans="1:29" ht="15.75" thickBot="1" x14ac:dyDescent="0.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</row>
    <row r="280" spans="1:29" ht="15.75" thickBot="1" x14ac:dyDescent="0.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</row>
    <row r="281" spans="1:29" ht="15.75" thickBot="1" x14ac:dyDescent="0.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</row>
    <row r="282" spans="1:29" ht="15.75" thickBot="1" x14ac:dyDescent="0.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</row>
    <row r="283" spans="1:29" ht="15.75" thickBot="1" x14ac:dyDescent="0.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</row>
    <row r="284" spans="1:29" ht="15.75" thickBot="1" x14ac:dyDescent="0.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</row>
    <row r="285" spans="1:29" ht="15.75" thickBot="1" x14ac:dyDescent="0.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</row>
    <row r="286" spans="1:29" ht="15.75" thickBot="1" x14ac:dyDescent="0.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</row>
    <row r="287" spans="1:29" ht="15.75" thickBot="1" x14ac:dyDescent="0.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</row>
    <row r="288" spans="1:29" ht="15.75" thickBot="1" x14ac:dyDescent="0.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</row>
    <row r="289" spans="1:29" ht="15.75" thickBot="1" x14ac:dyDescent="0.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</row>
    <row r="290" spans="1:29" ht="15.75" thickBot="1" x14ac:dyDescent="0.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</row>
    <row r="291" spans="1:29" ht="15.75" thickBot="1" x14ac:dyDescent="0.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</row>
    <row r="292" spans="1:29" ht="15.75" thickBot="1" x14ac:dyDescent="0.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</row>
    <row r="293" spans="1:29" ht="15.75" thickBot="1" x14ac:dyDescent="0.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</row>
    <row r="294" spans="1:29" ht="15.75" thickBot="1" x14ac:dyDescent="0.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</row>
    <row r="295" spans="1:29" ht="15.75" thickBot="1" x14ac:dyDescent="0.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</row>
    <row r="296" spans="1:29" ht="15.75" thickBot="1" x14ac:dyDescent="0.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</row>
    <row r="297" spans="1:29" ht="15.75" thickBot="1" x14ac:dyDescent="0.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</row>
    <row r="298" spans="1:29" ht="15.75" thickBot="1" x14ac:dyDescent="0.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</row>
    <row r="299" spans="1:29" ht="15.75" thickBot="1" x14ac:dyDescent="0.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</row>
    <row r="300" spans="1:29" ht="15.75" thickBot="1" x14ac:dyDescent="0.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</row>
    <row r="301" spans="1:29" ht="15.75" thickBot="1" x14ac:dyDescent="0.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</row>
    <row r="302" spans="1:29" ht="15.75" thickBot="1" x14ac:dyDescent="0.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</row>
    <row r="303" spans="1:29" ht="15.75" thickBot="1" x14ac:dyDescent="0.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</row>
    <row r="304" spans="1:29" ht="15.75" thickBot="1" x14ac:dyDescent="0.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</row>
    <row r="305" spans="1:29" ht="15.75" thickBot="1" x14ac:dyDescent="0.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</row>
    <row r="306" spans="1:29" ht="15.75" thickBot="1" x14ac:dyDescent="0.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</row>
    <row r="307" spans="1:29" ht="15.75" thickBot="1" x14ac:dyDescent="0.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</row>
    <row r="308" spans="1:29" ht="15.75" thickBot="1" x14ac:dyDescent="0.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</row>
    <row r="309" spans="1:29" ht="15.75" thickBot="1" x14ac:dyDescent="0.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</row>
    <row r="310" spans="1:29" ht="15.75" thickBot="1" x14ac:dyDescent="0.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</row>
    <row r="311" spans="1:29" ht="15.75" thickBot="1" x14ac:dyDescent="0.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</row>
    <row r="312" spans="1:29" ht="15.75" thickBot="1" x14ac:dyDescent="0.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</row>
    <row r="313" spans="1:29" ht="15.75" thickBot="1" x14ac:dyDescent="0.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</row>
    <row r="314" spans="1:29" ht="15.75" thickBot="1" x14ac:dyDescent="0.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</row>
    <row r="315" spans="1:29" ht="15.75" thickBot="1" x14ac:dyDescent="0.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</row>
    <row r="316" spans="1:29" ht="15.75" thickBot="1" x14ac:dyDescent="0.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</row>
    <row r="317" spans="1:29" ht="15.75" thickBot="1" x14ac:dyDescent="0.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</row>
    <row r="318" spans="1:29" ht="15.75" thickBot="1" x14ac:dyDescent="0.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</row>
    <row r="319" spans="1:29" ht="15.75" thickBot="1" x14ac:dyDescent="0.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</row>
    <row r="320" spans="1:29" ht="15.75" thickBot="1" x14ac:dyDescent="0.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</row>
    <row r="321" spans="1:29" ht="15.75" thickBot="1" x14ac:dyDescent="0.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</row>
    <row r="322" spans="1:29" ht="15.75" thickBot="1" x14ac:dyDescent="0.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</row>
    <row r="323" spans="1:29" ht="15.75" thickBot="1" x14ac:dyDescent="0.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</row>
    <row r="324" spans="1:29" ht="15.75" thickBot="1" x14ac:dyDescent="0.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</row>
    <row r="325" spans="1:29" ht="15.75" thickBot="1" x14ac:dyDescent="0.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</row>
    <row r="326" spans="1:29" ht="15.75" thickBot="1" x14ac:dyDescent="0.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</row>
    <row r="327" spans="1:29" ht="15.75" thickBot="1" x14ac:dyDescent="0.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</row>
    <row r="328" spans="1:29" ht="15.75" thickBot="1" x14ac:dyDescent="0.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</row>
    <row r="329" spans="1:29" ht="15.75" thickBot="1" x14ac:dyDescent="0.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</row>
    <row r="330" spans="1:29" ht="15.75" thickBot="1" x14ac:dyDescent="0.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</row>
    <row r="331" spans="1:29" ht="15.75" thickBot="1" x14ac:dyDescent="0.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</row>
    <row r="332" spans="1:29" ht="15.75" thickBot="1" x14ac:dyDescent="0.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</row>
    <row r="333" spans="1:29" ht="15.75" thickBot="1" x14ac:dyDescent="0.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</row>
    <row r="334" spans="1:29" ht="15.75" thickBot="1" x14ac:dyDescent="0.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</row>
    <row r="335" spans="1:29" ht="15.75" thickBot="1" x14ac:dyDescent="0.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</row>
    <row r="336" spans="1:29" ht="15.75" thickBot="1" x14ac:dyDescent="0.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</row>
    <row r="337" spans="1:29" ht="15.75" thickBot="1" x14ac:dyDescent="0.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</row>
    <row r="338" spans="1:29" ht="15.75" thickBot="1" x14ac:dyDescent="0.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</row>
    <row r="339" spans="1:29" ht="15.75" thickBot="1" x14ac:dyDescent="0.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</row>
    <row r="340" spans="1:29" ht="15.75" thickBot="1" x14ac:dyDescent="0.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</row>
    <row r="341" spans="1:29" ht="15.75" thickBot="1" x14ac:dyDescent="0.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</row>
    <row r="342" spans="1:29" ht="15.75" thickBot="1" x14ac:dyDescent="0.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</row>
    <row r="343" spans="1:29" ht="15.75" thickBot="1" x14ac:dyDescent="0.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</row>
    <row r="344" spans="1:29" ht="15.75" thickBot="1" x14ac:dyDescent="0.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</row>
    <row r="345" spans="1:29" ht="15.75" thickBot="1" x14ac:dyDescent="0.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</row>
    <row r="346" spans="1:29" ht="15.75" thickBot="1" x14ac:dyDescent="0.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</row>
    <row r="347" spans="1:29" ht="15.75" thickBot="1" x14ac:dyDescent="0.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</row>
    <row r="348" spans="1:29" ht="15.75" thickBot="1" x14ac:dyDescent="0.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</row>
    <row r="349" spans="1:29" ht="15.75" thickBot="1" x14ac:dyDescent="0.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</row>
    <row r="350" spans="1:29" ht="15.75" thickBot="1" x14ac:dyDescent="0.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</row>
    <row r="351" spans="1:29" ht="15.75" thickBot="1" x14ac:dyDescent="0.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</row>
    <row r="352" spans="1:29" ht="15.75" thickBot="1" x14ac:dyDescent="0.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</row>
    <row r="353" spans="1:29" ht="15.75" thickBot="1" x14ac:dyDescent="0.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</row>
    <row r="354" spans="1:29" ht="15.75" thickBot="1" x14ac:dyDescent="0.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</row>
    <row r="355" spans="1:29" ht="15.75" thickBot="1" x14ac:dyDescent="0.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</row>
    <row r="356" spans="1:29" ht="15.75" thickBot="1" x14ac:dyDescent="0.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</row>
    <row r="357" spans="1:29" ht="15.75" thickBot="1" x14ac:dyDescent="0.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</row>
    <row r="358" spans="1:29" ht="15.75" thickBot="1" x14ac:dyDescent="0.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</row>
    <row r="359" spans="1:29" ht="15.75" thickBot="1" x14ac:dyDescent="0.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</row>
    <row r="360" spans="1:29" ht="15.75" thickBot="1" x14ac:dyDescent="0.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</row>
    <row r="361" spans="1:29" ht="15.75" thickBot="1" x14ac:dyDescent="0.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</row>
    <row r="362" spans="1:29" ht="15.75" thickBot="1" x14ac:dyDescent="0.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</row>
    <row r="363" spans="1:29" ht="15.75" thickBot="1" x14ac:dyDescent="0.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</row>
    <row r="364" spans="1:29" ht="15.75" thickBot="1" x14ac:dyDescent="0.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</row>
    <row r="365" spans="1:29" ht="15.75" thickBot="1" x14ac:dyDescent="0.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</row>
    <row r="366" spans="1:29" ht="15.75" thickBot="1" x14ac:dyDescent="0.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</row>
    <row r="367" spans="1:29" ht="15.75" thickBot="1" x14ac:dyDescent="0.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</row>
    <row r="368" spans="1:29" ht="15.75" thickBot="1" x14ac:dyDescent="0.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</row>
    <row r="369" spans="1:29" ht="15.75" thickBot="1" x14ac:dyDescent="0.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</row>
    <row r="370" spans="1:29" ht="15.75" thickBot="1" x14ac:dyDescent="0.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</row>
    <row r="371" spans="1:29" ht="15.75" thickBot="1" x14ac:dyDescent="0.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</row>
    <row r="372" spans="1:29" ht="15.75" thickBot="1" x14ac:dyDescent="0.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</row>
    <row r="373" spans="1:29" ht="15.75" thickBot="1" x14ac:dyDescent="0.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</row>
    <row r="374" spans="1:29" ht="15.75" thickBot="1" x14ac:dyDescent="0.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</row>
    <row r="375" spans="1:29" ht="15.75" thickBot="1" x14ac:dyDescent="0.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</row>
    <row r="376" spans="1:29" ht="15.75" thickBot="1" x14ac:dyDescent="0.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</row>
    <row r="377" spans="1:29" ht="15.75" thickBot="1" x14ac:dyDescent="0.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</row>
    <row r="378" spans="1:29" ht="15.75" thickBot="1" x14ac:dyDescent="0.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</row>
    <row r="379" spans="1:29" ht="15.75" thickBot="1" x14ac:dyDescent="0.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</row>
    <row r="380" spans="1:29" ht="15.75" thickBot="1" x14ac:dyDescent="0.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</row>
    <row r="381" spans="1:29" ht="15.75" thickBot="1" x14ac:dyDescent="0.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</row>
    <row r="382" spans="1:29" ht="15.75" thickBot="1" x14ac:dyDescent="0.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</row>
    <row r="383" spans="1:29" ht="15.75" thickBot="1" x14ac:dyDescent="0.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</row>
    <row r="384" spans="1:29" ht="15.75" thickBot="1" x14ac:dyDescent="0.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</row>
    <row r="385" spans="1:29" ht="15.75" thickBot="1" x14ac:dyDescent="0.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</row>
    <row r="386" spans="1:29" ht="15.75" thickBot="1" x14ac:dyDescent="0.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</row>
    <row r="387" spans="1:29" ht="15.75" thickBot="1" x14ac:dyDescent="0.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</row>
    <row r="388" spans="1:29" ht="15.75" thickBot="1" x14ac:dyDescent="0.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</row>
    <row r="389" spans="1:29" ht="15.75" thickBot="1" x14ac:dyDescent="0.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</row>
    <row r="390" spans="1:29" ht="15.75" thickBot="1" x14ac:dyDescent="0.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</row>
    <row r="391" spans="1:29" ht="15.75" thickBot="1" x14ac:dyDescent="0.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</row>
    <row r="392" spans="1:29" ht="15.75" thickBot="1" x14ac:dyDescent="0.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</row>
    <row r="393" spans="1:29" ht="15.75" thickBot="1" x14ac:dyDescent="0.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</row>
    <row r="394" spans="1:29" ht="15.75" thickBot="1" x14ac:dyDescent="0.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</row>
    <row r="395" spans="1:29" ht="15.75" thickBot="1" x14ac:dyDescent="0.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</row>
    <row r="396" spans="1:29" ht="15.75" thickBot="1" x14ac:dyDescent="0.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</row>
    <row r="397" spans="1:29" ht="15.75" thickBot="1" x14ac:dyDescent="0.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</row>
    <row r="398" spans="1:29" ht="15.75" thickBot="1" x14ac:dyDescent="0.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</row>
    <row r="399" spans="1:29" ht="15.75" thickBot="1" x14ac:dyDescent="0.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</row>
    <row r="400" spans="1:29" ht="15.75" thickBot="1" x14ac:dyDescent="0.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</row>
    <row r="401" spans="1:29" ht="15.75" thickBot="1" x14ac:dyDescent="0.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</row>
    <row r="402" spans="1:29" ht="15.75" thickBot="1" x14ac:dyDescent="0.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</row>
    <row r="403" spans="1:29" ht="15.75" thickBot="1" x14ac:dyDescent="0.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</row>
    <row r="404" spans="1:29" ht="15.75" thickBot="1" x14ac:dyDescent="0.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</row>
    <row r="405" spans="1:29" ht="15.75" thickBot="1" x14ac:dyDescent="0.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</row>
    <row r="406" spans="1:29" ht="15.75" thickBot="1" x14ac:dyDescent="0.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</row>
    <row r="407" spans="1:29" ht="15.75" thickBot="1" x14ac:dyDescent="0.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</row>
    <row r="408" spans="1:29" ht="15.75" thickBot="1" x14ac:dyDescent="0.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</row>
    <row r="409" spans="1:29" ht="15.75" thickBot="1" x14ac:dyDescent="0.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</row>
    <row r="410" spans="1:29" ht="15.75" thickBot="1" x14ac:dyDescent="0.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</row>
    <row r="411" spans="1:29" ht="15.75" thickBot="1" x14ac:dyDescent="0.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</row>
    <row r="412" spans="1:29" ht="15.75" thickBot="1" x14ac:dyDescent="0.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</row>
    <row r="413" spans="1:29" ht="15.75" thickBot="1" x14ac:dyDescent="0.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</row>
    <row r="414" spans="1:29" ht="15.75" thickBot="1" x14ac:dyDescent="0.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</row>
    <row r="415" spans="1:29" ht="15.75" thickBot="1" x14ac:dyDescent="0.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</row>
    <row r="416" spans="1:29" ht="15.75" thickBot="1" x14ac:dyDescent="0.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</row>
    <row r="417" spans="1:29" ht="15.75" thickBot="1" x14ac:dyDescent="0.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</row>
    <row r="418" spans="1:29" ht="15.75" thickBot="1" x14ac:dyDescent="0.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</row>
    <row r="419" spans="1:29" ht="15.75" thickBot="1" x14ac:dyDescent="0.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</row>
    <row r="420" spans="1:29" ht="15.75" thickBot="1" x14ac:dyDescent="0.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</row>
    <row r="421" spans="1:29" ht="15.75" thickBot="1" x14ac:dyDescent="0.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</row>
    <row r="422" spans="1:29" ht="15.75" thickBot="1" x14ac:dyDescent="0.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</row>
    <row r="423" spans="1:29" ht="15.75" thickBot="1" x14ac:dyDescent="0.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</row>
    <row r="424" spans="1:29" ht="15.75" thickBot="1" x14ac:dyDescent="0.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</row>
    <row r="425" spans="1:29" ht="15.75" thickBot="1" x14ac:dyDescent="0.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</row>
    <row r="426" spans="1:29" ht="15.75" thickBot="1" x14ac:dyDescent="0.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</row>
    <row r="427" spans="1:29" ht="15.75" thickBot="1" x14ac:dyDescent="0.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</row>
    <row r="428" spans="1:29" ht="15.75" thickBot="1" x14ac:dyDescent="0.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</row>
    <row r="429" spans="1:29" ht="15.75" thickBot="1" x14ac:dyDescent="0.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</row>
    <row r="430" spans="1:29" ht="15.75" thickBot="1" x14ac:dyDescent="0.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</row>
    <row r="431" spans="1:29" ht="15.75" thickBot="1" x14ac:dyDescent="0.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</row>
    <row r="432" spans="1:29" ht="15.75" thickBot="1" x14ac:dyDescent="0.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</row>
    <row r="433" spans="1:29" ht="15.75" thickBot="1" x14ac:dyDescent="0.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</row>
    <row r="434" spans="1:29" ht="15.75" thickBot="1" x14ac:dyDescent="0.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</row>
    <row r="435" spans="1:29" ht="15.75" thickBot="1" x14ac:dyDescent="0.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</row>
    <row r="436" spans="1:29" ht="15.75" thickBot="1" x14ac:dyDescent="0.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</row>
    <row r="437" spans="1:29" ht="15.75" thickBot="1" x14ac:dyDescent="0.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</row>
    <row r="438" spans="1:29" ht="15.75" thickBot="1" x14ac:dyDescent="0.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</row>
    <row r="439" spans="1:29" ht="15.75" thickBot="1" x14ac:dyDescent="0.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</row>
    <row r="440" spans="1:29" ht="15.75" thickBot="1" x14ac:dyDescent="0.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</row>
    <row r="441" spans="1:29" ht="15.75" thickBot="1" x14ac:dyDescent="0.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</row>
    <row r="442" spans="1:29" ht="15.75" thickBot="1" x14ac:dyDescent="0.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</row>
    <row r="443" spans="1:29" ht="15.75" thickBot="1" x14ac:dyDescent="0.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</row>
    <row r="444" spans="1:29" ht="15.75" thickBot="1" x14ac:dyDescent="0.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</row>
    <row r="445" spans="1:29" ht="15.75" thickBot="1" x14ac:dyDescent="0.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</row>
    <row r="446" spans="1:29" ht="15.75" thickBot="1" x14ac:dyDescent="0.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</row>
    <row r="447" spans="1:29" ht="15.75" thickBot="1" x14ac:dyDescent="0.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</row>
    <row r="448" spans="1:29" ht="15.75" thickBot="1" x14ac:dyDescent="0.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</row>
    <row r="449" spans="1:29" ht="15.75" thickBot="1" x14ac:dyDescent="0.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</row>
    <row r="450" spans="1:29" ht="15.75" thickBot="1" x14ac:dyDescent="0.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</row>
    <row r="451" spans="1:29" ht="15.75" thickBot="1" x14ac:dyDescent="0.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</row>
    <row r="452" spans="1:29" ht="15.75" thickBot="1" x14ac:dyDescent="0.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</row>
    <row r="453" spans="1:29" ht="15.75" thickBot="1" x14ac:dyDescent="0.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</row>
    <row r="454" spans="1:29" ht="15.75" thickBot="1" x14ac:dyDescent="0.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</row>
    <row r="455" spans="1:29" ht="15.75" thickBot="1" x14ac:dyDescent="0.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</row>
    <row r="456" spans="1:29" ht="15.75" thickBot="1" x14ac:dyDescent="0.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</row>
    <row r="457" spans="1:29" ht="15.75" thickBot="1" x14ac:dyDescent="0.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</row>
    <row r="458" spans="1:29" ht="15.75" thickBot="1" x14ac:dyDescent="0.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</row>
    <row r="459" spans="1:29" ht="15.75" thickBot="1" x14ac:dyDescent="0.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</row>
    <row r="460" spans="1:29" ht="15.75" thickBot="1" x14ac:dyDescent="0.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</row>
    <row r="461" spans="1:29" ht="15.75" thickBot="1" x14ac:dyDescent="0.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</row>
    <row r="462" spans="1:29" ht="15.75" thickBot="1" x14ac:dyDescent="0.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</row>
    <row r="463" spans="1:29" ht="15.75" thickBot="1" x14ac:dyDescent="0.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</row>
    <row r="464" spans="1:29" ht="15.75" thickBot="1" x14ac:dyDescent="0.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</row>
    <row r="465" spans="1:29" ht="15.75" thickBot="1" x14ac:dyDescent="0.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</row>
    <row r="466" spans="1:29" ht="15.75" thickBot="1" x14ac:dyDescent="0.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</row>
    <row r="467" spans="1:29" ht="15.75" thickBot="1" x14ac:dyDescent="0.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</row>
    <row r="468" spans="1:29" ht="15.75" thickBot="1" x14ac:dyDescent="0.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</row>
    <row r="469" spans="1:29" ht="15.75" thickBot="1" x14ac:dyDescent="0.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</row>
    <row r="470" spans="1:29" ht="15.75" thickBot="1" x14ac:dyDescent="0.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</row>
    <row r="471" spans="1:29" ht="15.75" thickBot="1" x14ac:dyDescent="0.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</row>
    <row r="472" spans="1:29" ht="15.75" thickBot="1" x14ac:dyDescent="0.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</row>
    <row r="473" spans="1:29" ht="15.75" thickBot="1" x14ac:dyDescent="0.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</row>
    <row r="474" spans="1:29" ht="15.75" thickBot="1" x14ac:dyDescent="0.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</row>
    <row r="475" spans="1:29" ht="15.75" thickBot="1" x14ac:dyDescent="0.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</row>
    <row r="476" spans="1:29" ht="15.75" thickBot="1" x14ac:dyDescent="0.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</row>
    <row r="477" spans="1:29" ht="15.75" thickBot="1" x14ac:dyDescent="0.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</row>
    <row r="478" spans="1:29" ht="15.75" thickBot="1" x14ac:dyDescent="0.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</row>
    <row r="479" spans="1:29" ht="15.75" thickBot="1" x14ac:dyDescent="0.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</row>
    <row r="480" spans="1:29" ht="15.75" thickBot="1" x14ac:dyDescent="0.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</row>
    <row r="481" spans="1:29" ht="15.75" thickBot="1" x14ac:dyDescent="0.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</row>
    <row r="482" spans="1:29" ht="15.75" thickBot="1" x14ac:dyDescent="0.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</row>
    <row r="483" spans="1:29" ht="15.75" thickBot="1" x14ac:dyDescent="0.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</row>
    <row r="484" spans="1:29" ht="15.75" thickBot="1" x14ac:dyDescent="0.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</row>
    <row r="485" spans="1:29" ht="15.75" thickBot="1" x14ac:dyDescent="0.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</row>
    <row r="486" spans="1:29" ht="15.75" thickBot="1" x14ac:dyDescent="0.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</row>
    <row r="487" spans="1:29" ht="15.75" thickBot="1" x14ac:dyDescent="0.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</row>
    <row r="488" spans="1:29" ht="15.75" thickBot="1" x14ac:dyDescent="0.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</row>
    <row r="489" spans="1:29" ht="15.75" thickBot="1" x14ac:dyDescent="0.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</row>
    <row r="490" spans="1:29" ht="15.75" thickBot="1" x14ac:dyDescent="0.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</row>
    <row r="491" spans="1:29" ht="15.75" thickBot="1" x14ac:dyDescent="0.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</row>
    <row r="492" spans="1:29" ht="15.75" thickBot="1" x14ac:dyDescent="0.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</row>
    <row r="493" spans="1:29" ht="15.75" thickBot="1" x14ac:dyDescent="0.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</row>
    <row r="494" spans="1:29" ht="15.75" thickBot="1" x14ac:dyDescent="0.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</row>
    <row r="495" spans="1:29" ht="15.75" thickBot="1" x14ac:dyDescent="0.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</row>
    <row r="496" spans="1:29" ht="15.75" thickBot="1" x14ac:dyDescent="0.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</row>
    <row r="497" spans="1:29" ht="15.75" thickBot="1" x14ac:dyDescent="0.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</row>
    <row r="498" spans="1:29" ht="15.75" thickBot="1" x14ac:dyDescent="0.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</row>
    <row r="499" spans="1:29" ht="15.75" thickBot="1" x14ac:dyDescent="0.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</row>
    <row r="500" spans="1:29" ht="15.75" thickBot="1" x14ac:dyDescent="0.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</row>
    <row r="501" spans="1:29" ht="15.75" thickBot="1" x14ac:dyDescent="0.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</row>
    <row r="502" spans="1:29" ht="15.75" thickBot="1" x14ac:dyDescent="0.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</row>
    <row r="503" spans="1:29" ht="15.75" thickBot="1" x14ac:dyDescent="0.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</row>
    <row r="504" spans="1:29" ht="15.75" thickBot="1" x14ac:dyDescent="0.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</row>
    <row r="505" spans="1:29" ht="15.75" thickBot="1" x14ac:dyDescent="0.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</row>
    <row r="506" spans="1:29" ht="15.75" thickBot="1" x14ac:dyDescent="0.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</row>
    <row r="507" spans="1:29" ht="15.75" thickBot="1" x14ac:dyDescent="0.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</row>
    <row r="508" spans="1:29" ht="15.75" thickBot="1" x14ac:dyDescent="0.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</row>
    <row r="509" spans="1:29" ht="15.75" thickBot="1" x14ac:dyDescent="0.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</row>
    <row r="510" spans="1:29" ht="15.75" thickBot="1" x14ac:dyDescent="0.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</row>
    <row r="511" spans="1:29" ht="15.75" thickBot="1" x14ac:dyDescent="0.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</row>
    <row r="512" spans="1:29" ht="15.75" thickBot="1" x14ac:dyDescent="0.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</row>
    <row r="513" spans="1:29" ht="15.75" thickBot="1" x14ac:dyDescent="0.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</row>
    <row r="514" spans="1:29" ht="15.75" thickBot="1" x14ac:dyDescent="0.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</row>
    <row r="515" spans="1:29" ht="15.75" thickBot="1" x14ac:dyDescent="0.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</row>
    <row r="516" spans="1:29" ht="15.75" thickBot="1" x14ac:dyDescent="0.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</row>
    <row r="517" spans="1:29" ht="15.75" thickBot="1" x14ac:dyDescent="0.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</row>
    <row r="518" spans="1:29" ht="15.75" thickBot="1" x14ac:dyDescent="0.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</row>
    <row r="519" spans="1:29" ht="15.75" thickBot="1" x14ac:dyDescent="0.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</row>
    <row r="520" spans="1:29" ht="15.75" thickBot="1" x14ac:dyDescent="0.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</row>
    <row r="521" spans="1:29" ht="15.75" thickBot="1" x14ac:dyDescent="0.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</row>
    <row r="522" spans="1:29" ht="15.75" thickBot="1" x14ac:dyDescent="0.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</row>
    <row r="523" spans="1:29" ht="15.75" thickBot="1" x14ac:dyDescent="0.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</row>
    <row r="524" spans="1:29" ht="15.75" thickBot="1" x14ac:dyDescent="0.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</row>
    <row r="525" spans="1:29" ht="15.75" thickBot="1" x14ac:dyDescent="0.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</row>
    <row r="526" spans="1:29" ht="15.75" thickBot="1" x14ac:dyDescent="0.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</row>
    <row r="527" spans="1:29" ht="15.75" thickBot="1" x14ac:dyDescent="0.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</row>
    <row r="528" spans="1:29" ht="15.75" thickBot="1" x14ac:dyDescent="0.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</row>
    <row r="529" spans="1:29" ht="15.75" thickBot="1" x14ac:dyDescent="0.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</row>
    <row r="530" spans="1:29" ht="15.75" thickBot="1" x14ac:dyDescent="0.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</row>
    <row r="531" spans="1:29" ht="15.75" thickBot="1" x14ac:dyDescent="0.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</row>
    <row r="532" spans="1:29" ht="15.75" thickBot="1" x14ac:dyDescent="0.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</row>
    <row r="533" spans="1:29" ht="15.75" thickBot="1" x14ac:dyDescent="0.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</row>
    <row r="534" spans="1:29" ht="15.75" thickBot="1" x14ac:dyDescent="0.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</row>
    <row r="535" spans="1:29" ht="15.75" thickBot="1" x14ac:dyDescent="0.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</row>
    <row r="536" spans="1:29" ht="15.75" thickBot="1" x14ac:dyDescent="0.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</row>
    <row r="537" spans="1:29" ht="15.75" thickBot="1" x14ac:dyDescent="0.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</row>
    <row r="538" spans="1:29" ht="15.75" thickBot="1" x14ac:dyDescent="0.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</row>
    <row r="539" spans="1:29" ht="15.75" thickBot="1" x14ac:dyDescent="0.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</row>
    <row r="540" spans="1:29" ht="15.75" thickBot="1" x14ac:dyDescent="0.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</row>
    <row r="541" spans="1:29" ht="15.75" thickBot="1" x14ac:dyDescent="0.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</row>
    <row r="542" spans="1:29" ht="15.75" thickBot="1" x14ac:dyDescent="0.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</row>
    <row r="543" spans="1:29" ht="15.75" thickBot="1" x14ac:dyDescent="0.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</row>
    <row r="544" spans="1:29" ht="15.75" thickBot="1" x14ac:dyDescent="0.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</row>
    <row r="545" spans="1:29" ht="15.75" thickBot="1" x14ac:dyDescent="0.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</row>
    <row r="546" spans="1:29" ht="15.75" thickBot="1" x14ac:dyDescent="0.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</row>
    <row r="547" spans="1:29" ht="15.75" thickBot="1" x14ac:dyDescent="0.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</row>
    <row r="548" spans="1:29" ht="15.75" thickBot="1" x14ac:dyDescent="0.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</row>
    <row r="549" spans="1:29" ht="15.75" thickBot="1" x14ac:dyDescent="0.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</row>
    <row r="550" spans="1:29" ht="15.75" thickBot="1" x14ac:dyDescent="0.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</row>
    <row r="551" spans="1:29" ht="15.75" thickBot="1" x14ac:dyDescent="0.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</row>
    <row r="552" spans="1:29" ht="15.75" thickBot="1" x14ac:dyDescent="0.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</row>
    <row r="553" spans="1:29" ht="15.75" thickBot="1" x14ac:dyDescent="0.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</row>
    <row r="554" spans="1:29" ht="15.75" thickBot="1" x14ac:dyDescent="0.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</row>
    <row r="555" spans="1:29" ht="15.75" thickBot="1" x14ac:dyDescent="0.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</row>
    <row r="556" spans="1:29" ht="15.75" thickBot="1" x14ac:dyDescent="0.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</row>
    <row r="557" spans="1:29" ht="15.75" thickBot="1" x14ac:dyDescent="0.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</row>
    <row r="558" spans="1:29" ht="15.75" thickBot="1" x14ac:dyDescent="0.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</row>
    <row r="559" spans="1:29" ht="15.75" thickBot="1" x14ac:dyDescent="0.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</row>
    <row r="560" spans="1:29" ht="15.75" thickBot="1" x14ac:dyDescent="0.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</row>
    <row r="561" spans="1:29" ht="15.75" thickBot="1" x14ac:dyDescent="0.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</row>
    <row r="562" spans="1:29" ht="15.75" thickBot="1" x14ac:dyDescent="0.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</row>
    <row r="563" spans="1:29" ht="15.75" thickBot="1" x14ac:dyDescent="0.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</row>
    <row r="564" spans="1:29" ht="15.75" thickBot="1" x14ac:dyDescent="0.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</row>
    <row r="565" spans="1:29" ht="15.75" thickBot="1" x14ac:dyDescent="0.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</row>
    <row r="566" spans="1:29" ht="15.75" thickBot="1" x14ac:dyDescent="0.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</row>
    <row r="567" spans="1:29" ht="15.75" thickBot="1" x14ac:dyDescent="0.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</row>
    <row r="568" spans="1:29" ht="15.75" thickBot="1" x14ac:dyDescent="0.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</row>
    <row r="569" spans="1:29" ht="15.75" thickBot="1" x14ac:dyDescent="0.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</row>
    <row r="570" spans="1:29" ht="15.75" thickBot="1" x14ac:dyDescent="0.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</row>
    <row r="571" spans="1:29" ht="15.75" thickBot="1" x14ac:dyDescent="0.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</row>
    <row r="572" spans="1:29" ht="15.75" thickBot="1" x14ac:dyDescent="0.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</row>
    <row r="573" spans="1:29" ht="15.75" thickBot="1" x14ac:dyDescent="0.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</row>
    <row r="574" spans="1:29" ht="15.75" thickBot="1" x14ac:dyDescent="0.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</row>
    <row r="575" spans="1:29" ht="15.75" thickBot="1" x14ac:dyDescent="0.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</row>
    <row r="576" spans="1:29" ht="15.75" thickBot="1" x14ac:dyDescent="0.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</row>
    <row r="577" spans="1:29" ht="15.75" thickBot="1" x14ac:dyDescent="0.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</row>
    <row r="578" spans="1:29" ht="15.75" thickBot="1" x14ac:dyDescent="0.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</row>
    <row r="579" spans="1:29" ht="15.75" thickBot="1" x14ac:dyDescent="0.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</row>
    <row r="580" spans="1:29" ht="15.75" thickBot="1" x14ac:dyDescent="0.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</row>
    <row r="581" spans="1:29" ht="15.75" thickBot="1" x14ac:dyDescent="0.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</row>
    <row r="582" spans="1:29" ht="15.75" thickBot="1" x14ac:dyDescent="0.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</row>
    <row r="583" spans="1:29" ht="15.75" thickBot="1" x14ac:dyDescent="0.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</row>
    <row r="584" spans="1:29" ht="15.75" thickBot="1" x14ac:dyDescent="0.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</row>
    <row r="585" spans="1:29" ht="15.75" thickBot="1" x14ac:dyDescent="0.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</row>
    <row r="586" spans="1:29" ht="15.75" thickBot="1" x14ac:dyDescent="0.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</row>
    <row r="587" spans="1:29" ht="15.75" thickBot="1" x14ac:dyDescent="0.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</row>
    <row r="588" spans="1:29" ht="15.75" thickBot="1" x14ac:dyDescent="0.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</row>
    <row r="589" spans="1:29" ht="15.75" thickBot="1" x14ac:dyDescent="0.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</row>
    <row r="590" spans="1:29" ht="15.75" thickBot="1" x14ac:dyDescent="0.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</row>
    <row r="591" spans="1:29" ht="15.75" thickBot="1" x14ac:dyDescent="0.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</row>
    <row r="592" spans="1:29" ht="15.75" thickBot="1" x14ac:dyDescent="0.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</row>
    <row r="593" spans="1:29" ht="15.75" thickBot="1" x14ac:dyDescent="0.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</row>
    <row r="594" spans="1:29" ht="15.75" thickBot="1" x14ac:dyDescent="0.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</row>
    <row r="595" spans="1:29" ht="15.75" thickBot="1" x14ac:dyDescent="0.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</row>
    <row r="596" spans="1:29" ht="15.75" thickBot="1" x14ac:dyDescent="0.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</row>
    <row r="597" spans="1:29" ht="15.75" thickBot="1" x14ac:dyDescent="0.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</row>
    <row r="598" spans="1:29" ht="15.75" thickBot="1" x14ac:dyDescent="0.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</row>
    <row r="599" spans="1:29" ht="15.75" thickBot="1" x14ac:dyDescent="0.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</row>
    <row r="600" spans="1:29" ht="15.75" thickBot="1" x14ac:dyDescent="0.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</row>
    <row r="601" spans="1:29" ht="15.75" thickBot="1" x14ac:dyDescent="0.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</row>
    <row r="602" spans="1:29" ht="15.75" thickBot="1" x14ac:dyDescent="0.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</row>
    <row r="603" spans="1:29" ht="15.75" thickBot="1" x14ac:dyDescent="0.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</row>
    <row r="604" spans="1:29" ht="15.75" thickBot="1" x14ac:dyDescent="0.3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</row>
    <row r="605" spans="1:29" ht="15.75" thickBot="1" x14ac:dyDescent="0.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</row>
    <row r="606" spans="1:29" ht="15.75" thickBot="1" x14ac:dyDescent="0.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</row>
    <row r="607" spans="1:29" ht="15.75" thickBot="1" x14ac:dyDescent="0.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</row>
    <row r="608" spans="1:29" ht="15.75" thickBot="1" x14ac:dyDescent="0.3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</row>
    <row r="609" spans="1:29" ht="15.75" thickBot="1" x14ac:dyDescent="0.3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</row>
    <row r="610" spans="1:29" ht="15.75" thickBot="1" x14ac:dyDescent="0.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</row>
    <row r="611" spans="1:29" ht="15.75" thickBot="1" x14ac:dyDescent="0.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</row>
    <row r="612" spans="1:29" ht="15.75" thickBot="1" x14ac:dyDescent="0.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</row>
    <row r="613" spans="1:29" ht="15.75" thickBot="1" x14ac:dyDescent="0.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</row>
    <row r="614" spans="1:29" ht="15.75" thickBot="1" x14ac:dyDescent="0.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</row>
    <row r="615" spans="1:29" ht="15.75" thickBot="1" x14ac:dyDescent="0.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</row>
    <row r="616" spans="1:29" ht="15.75" thickBot="1" x14ac:dyDescent="0.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</row>
    <row r="617" spans="1:29" ht="15.75" thickBot="1" x14ac:dyDescent="0.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</row>
    <row r="618" spans="1:29" ht="15.75" thickBot="1" x14ac:dyDescent="0.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</row>
    <row r="619" spans="1:29" ht="15.75" thickBot="1" x14ac:dyDescent="0.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</row>
    <row r="620" spans="1:29" ht="15.75" thickBot="1" x14ac:dyDescent="0.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</row>
    <row r="621" spans="1:29" ht="15.75" thickBot="1" x14ac:dyDescent="0.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</row>
    <row r="622" spans="1:29" ht="15.75" thickBot="1" x14ac:dyDescent="0.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</row>
    <row r="623" spans="1:29" ht="15.75" thickBot="1" x14ac:dyDescent="0.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</row>
    <row r="624" spans="1:29" ht="15.75" thickBot="1" x14ac:dyDescent="0.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</row>
    <row r="625" spans="1:29" ht="15.75" thickBot="1" x14ac:dyDescent="0.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</row>
    <row r="626" spans="1:29" ht="15.75" thickBot="1" x14ac:dyDescent="0.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</row>
    <row r="627" spans="1:29" ht="15.75" thickBot="1" x14ac:dyDescent="0.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</row>
    <row r="628" spans="1:29" ht="15.75" thickBot="1" x14ac:dyDescent="0.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</row>
    <row r="629" spans="1:29" ht="15.75" thickBot="1" x14ac:dyDescent="0.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</row>
    <row r="630" spans="1:29" ht="15.75" thickBot="1" x14ac:dyDescent="0.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</row>
    <row r="631" spans="1:29" ht="15.75" thickBot="1" x14ac:dyDescent="0.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</row>
    <row r="632" spans="1:29" ht="15.75" thickBot="1" x14ac:dyDescent="0.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</row>
    <row r="633" spans="1:29" ht="15.75" thickBot="1" x14ac:dyDescent="0.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</row>
    <row r="634" spans="1:29" ht="15.75" thickBot="1" x14ac:dyDescent="0.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</row>
    <row r="635" spans="1:29" ht="15.75" thickBot="1" x14ac:dyDescent="0.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</row>
    <row r="636" spans="1:29" ht="15.75" thickBot="1" x14ac:dyDescent="0.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</row>
    <row r="637" spans="1:29" ht="15.75" thickBot="1" x14ac:dyDescent="0.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</row>
    <row r="638" spans="1:29" ht="15.75" thickBot="1" x14ac:dyDescent="0.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</row>
    <row r="639" spans="1:29" ht="15.75" thickBot="1" x14ac:dyDescent="0.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</row>
    <row r="640" spans="1:29" ht="15.75" thickBot="1" x14ac:dyDescent="0.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</row>
    <row r="641" spans="1:29" ht="15.75" thickBot="1" x14ac:dyDescent="0.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</row>
    <row r="642" spans="1:29" ht="15.75" thickBot="1" x14ac:dyDescent="0.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</row>
    <row r="643" spans="1:29" ht="15.75" thickBot="1" x14ac:dyDescent="0.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</row>
    <row r="644" spans="1:29" ht="15.75" thickBot="1" x14ac:dyDescent="0.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</row>
    <row r="645" spans="1:29" ht="15.75" thickBot="1" x14ac:dyDescent="0.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</row>
    <row r="646" spans="1:29" ht="15.75" thickBot="1" x14ac:dyDescent="0.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</row>
    <row r="647" spans="1:29" ht="15.75" thickBot="1" x14ac:dyDescent="0.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</row>
    <row r="648" spans="1:29" ht="15.75" thickBot="1" x14ac:dyDescent="0.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</row>
    <row r="649" spans="1:29" ht="15.75" thickBot="1" x14ac:dyDescent="0.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</row>
    <row r="650" spans="1:29" ht="15.75" thickBot="1" x14ac:dyDescent="0.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</row>
    <row r="651" spans="1:29" ht="15.75" thickBot="1" x14ac:dyDescent="0.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</row>
    <row r="652" spans="1:29" ht="15.75" thickBot="1" x14ac:dyDescent="0.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</row>
    <row r="653" spans="1:29" ht="15.75" thickBot="1" x14ac:dyDescent="0.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</row>
    <row r="654" spans="1:29" ht="15.75" thickBot="1" x14ac:dyDescent="0.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</row>
    <row r="655" spans="1:29" ht="15.75" thickBot="1" x14ac:dyDescent="0.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</row>
    <row r="656" spans="1:29" ht="15.75" thickBot="1" x14ac:dyDescent="0.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</row>
    <row r="657" spans="1:29" ht="15.75" thickBot="1" x14ac:dyDescent="0.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</row>
    <row r="658" spans="1:29" ht="15.75" thickBot="1" x14ac:dyDescent="0.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</row>
    <row r="659" spans="1:29" ht="15.75" thickBot="1" x14ac:dyDescent="0.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</row>
    <row r="660" spans="1:29" ht="15.75" thickBot="1" x14ac:dyDescent="0.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</row>
    <row r="661" spans="1:29" ht="15.75" thickBot="1" x14ac:dyDescent="0.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</row>
    <row r="662" spans="1:29" ht="15.75" thickBot="1" x14ac:dyDescent="0.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</row>
    <row r="663" spans="1:29" ht="15.75" thickBot="1" x14ac:dyDescent="0.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</row>
    <row r="664" spans="1:29" ht="15.75" thickBot="1" x14ac:dyDescent="0.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</row>
    <row r="665" spans="1:29" ht="15.75" thickBot="1" x14ac:dyDescent="0.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</row>
    <row r="666" spans="1:29" ht="15.75" thickBot="1" x14ac:dyDescent="0.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</row>
    <row r="667" spans="1:29" ht="15.75" thickBot="1" x14ac:dyDescent="0.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</row>
    <row r="668" spans="1:29" ht="15.75" thickBot="1" x14ac:dyDescent="0.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</row>
    <row r="669" spans="1:29" ht="15.75" thickBot="1" x14ac:dyDescent="0.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</row>
    <row r="670" spans="1:29" ht="15.75" thickBot="1" x14ac:dyDescent="0.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</row>
    <row r="671" spans="1:29" ht="15.75" thickBot="1" x14ac:dyDescent="0.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</row>
    <row r="672" spans="1:29" ht="15.75" thickBot="1" x14ac:dyDescent="0.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</row>
    <row r="673" spans="1:29" ht="15.75" thickBot="1" x14ac:dyDescent="0.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</row>
    <row r="674" spans="1:29" ht="15.75" thickBot="1" x14ac:dyDescent="0.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</row>
    <row r="675" spans="1:29" ht="15.75" thickBot="1" x14ac:dyDescent="0.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</row>
    <row r="676" spans="1:29" ht="15.75" thickBot="1" x14ac:dyDescent="0.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</row>
    <row r="677" spans="1:29" ht="15.75" thickBot="1" x14ac:dyDescent="0.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</row>
    <row r="678" spans="1:29" ht="15.75" thickBot="1" x14ac:dyDescent="0.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</row>
    <row r="679" spans="1:29" ht="15.75" thickBot="1" x14ac:dyDescent="0.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</row>
    <row r="680" spans="1:29" ht="15.75" thickBot="1" x14ac:dyDescent="0.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</row>
    <row r="681" spans="1:29" ht="15.75" thickBot="1" x14ac:dyDescent="0.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</row>
    <row r="682" spans="1:29" ht="15.75" thickBot="1" x14ac:dyDescent="0.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</row>
    <row r="683" spans="1:29" ht="15.75" thickBot="1" x14ac:dyDescent="0.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</row>
    <row r="684" spans="1:29" ht="15.75" thickBot="1" x14ac:dyDescent="0.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</row>
    <row r="685" spans="1:29" ht="15.75" thickBot="1" x14ac:dyDescent="0.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</row>
    <row r="686" spans="1:29" ht="15.75" thickBot="1" x14ac:dyDescent="0.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</row>
    <row r="687" spans="1:29" ht="15.75" thickBot="1" x14ac:dyDescent="0.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</row>
    <row r="688" spans="1:29" ht="15.75" thickBot="1" x14ac:dyDescent="0.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</row>
    <row r="689" spans="1:29" ht="15.75" thickBot="1" x14ac:dyDescent="0.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</row>
    <row r="690" spans="1:29" ht="15.75" thickBot="1" x14ac:dyDescent="0.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</row>
    <row r="691" spans="1:29" ht="15.75" thickBot="1" x14ac:dyDescent="0.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</row>
    <row r="692" spans="1:29" ht="15.75" thickBot="1" x14ac:dyDescent="0.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</row>
    <row r="693" spans="1:29" ht="15.75" thickBot="1" x14ac:dyDescent="0.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</row>
    <row r="694" spans="1:29" ht="15.75" thickBot="1" x14ac:dyDescent="0.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</row>
    <row r="695" spans="1:29" ht="15.75" thickBot="1" x14ac:dyDescent="0.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</row>
    <row r="696" spans="1:29" ht="15.75" thickBot="1" x14ac:dyDescent="0.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</row>
    <row r="697" spans="1:29" ht="15.75" thickBot="1" x14ac:dyDescent="0.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</row>
    <row r="698" spans="1:29" ht="15.75" thickBot="1" x14ac:dyDescent="0.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</row>
    <row r="699" spans="1:29" ht="15.75" thickBot="1" x14ac:dyDescent="0.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</row>
    <row r="700" spans="1:29" ht="15.75" thickBot="1" x14ac:dyDescent="0.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</row>
    <row r="701" spans="1:29" ht="15.75" thickBot="1" x14ac:dyDescent="0.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</row>
    <row r="702" spans="1:29" ht="15.75" thickBot="1" x14ac:dyDescent="0.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</row>
    <row r="703" spans="1:29" ht="15.75" thickBot="1" x14ac:dyDescent="0.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</row>
    <row r="704" spans="1:29" ht="15.75" thickBot="1" x14ac:dyDescent="0.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</row>
    <row r="705" spans="1:29" ht="15.75" thickBot="1" x14ac:dyDescent="0.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</row>
    <row r="706" spans="1:29" ht="15.75" thickBot="1" x14ac:dyDescent="0.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</row>
    <row r="707" spans="1:29" ht="15.75" thickBot="1" x14ac:dyDescent="0.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</row>
    <row r="708" spans="1:29" ht="15.75" thickBot="1" x14ac:dyDescent="0.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</row>
    <row r="709" spans="1:29" ht="15.75" thickBot="1" x14ac:dyDescent="0.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</row>
    <row r="710" spans="1:29" ht="15.75" thickBot="1" x14ac:dyDescent="0.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</row>
    <row r="711" spans="1:29" ht="15.75" thickBot="1" x14ac:dyDescent="0.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</row>
    <row r="712" spans="1:29" ht="15.75" thickBot="1" x14ac:dyDescent="0.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</row>
    <row r="713" spans="1:29" ht="15.75" thickBot="1" x14ac:dyDescent="0.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</row>
    <row r="714" spans="1:29" ht="15.75" thickBot="1" x14ac:dyDescent="0.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</row>
    <row r="715" spans="1:29" ht="15.75" thickBot="1" x14ac:dyDescent="0.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</row>
    <row r="716" spans="1:29" ht="15.75" thickBot="1" x14ac:dyDescent="0.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</row>
    <row r="717" spans="1:29" ht="15.75" thickBot="1" x14ac:dyDescent="0.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</row>
    <row r="718" spans="1:29" ht="15.75" thickBot="1" x14ac:dyDescent="0.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</row>
    <row r="719" spans="1:29" ht="15.75" thickBot="1" x14ac:dyDescent="0.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</row>
    <row r="720" spans="1:29" ht="15.75" thickBot="1" x14ac:dyDescent="0.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</row>
    <row r="721" spans="1:29" ht="15.75" thickBot="1" x14ac:dyDescent="0.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</row>
    <row r="722" spans="1:29" ht="15.75" thickBot="1" x14ac:dyDescent="0.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</row>
    <row r="723" spans="1:29" ht="15.75" thickBot="1" x14ac:dyDescent="0.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</row>
    <row r="724" spans="1:29" ht="15.75" thickBot="1" x14ac:dyDescent="0.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</row>
    <row r="725" spans="1:29" ht="15.75" thickBot="1" x14ac:dyDescent="0.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</row>
    <row r="726" spans="1:29" ht="15.75" thickBot="1" x14ac:dyDescent="0.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</row>
    <row r="727" spans="1:29" ht="15.75" thickBot="1" x14ac:dyDescent="0.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</row>
    <row r="728" spans="1:29" ht="15.75" thickBot="1" x14ac:dyDescent="0.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</row>
    <row r="729" spans="1:29" ht="15.75" thickBot="1" x14ac:dyDescent="0.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</row>
    <row r="730" spans="1:29" ht="15.75" thickBot="1" x14ac:dyDescent="0.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</row>
    <row r="731" spans="1:29" ht="15.75" thickBot="1" x14ac:dyDescent="0.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</row>
    <row r="732" spans="1:29" ht="15.75" thickBot="1" x14ac:dyDescent="0.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</row>
    <row r="733" spans="1:29" ht="15.75" thickBot="1" x14ac:dyDescent="0.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</row>
    <row r="734" spans="1:29" ht="15.75" thickBot="1" x14ac:dyDescent="0.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</row>
    <row r="735" spans="1:29" ht="15.75" thickBot="1" x14ac:dyDescent="0.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</row>
    <row r="736" spans="1:29" ht="15.75" thickBot="1" x14ac:dyDescent="0.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</row>
    <row r="737" spans="1:29" ht="15.75" thickBot="1" x14ac:dyDescent="0.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</row>
    <row r="738" spans="1:29" ht="15.75" thickBot="1" x14ac:dyDescent="0.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</row>
    <row r="739" spans="1:29" ht="15.75" thickBot="1" x14ac:dyDescent="0.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</row>
    <row r="740" spans="1:29" ht="15.75" thickBot="1" x14ac:dyDescent="0.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</row>
    <row r="741" spans="1:29" ht="15.75" thickBot="1" x14ac:dyDescent="0.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</row>
    <row r="742" spans="1:29" ht="15.75" thickBot="1" x14ac:dyDescent="0.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</row>
    <row r="743" spans="1:29" ht="15.75" thickBot="1" x14ac:dyDescent="0.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</row>
    <row r="744" spans="1:29" ht="15.75" thickBot="1" x14ac:dyDescent="0.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</row>
    <row r="745" spans="1:29" ht="15.75" thickBot="1" x14ac:dyDescent="0.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</row>
    <row r="746" spans="1:29" ht="15.75" thickBot="1" x14ac:dyDescent="0.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</row>
    <row r="747" spans="1:29" ht="15.75" thickBot="1" x14ac:dyDescent="0.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</row>
    <row r="748" spans="1:29" ht="15.75" thickBot="1" x14ac:dyDescent="0.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</row>
    <row r="749" spans="1:29" ht="15.75" thickBot="1" x14ac:dyDescent="0.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</row>
    <row r="750" spans="1:29" ht="15.75" thickBot="1" x14ac:dyDescent="0.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</row>
    <row r="751" spans="1:29" ht="15.75" thickBot="1" x14ac:dyDescent="0.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</row>
    <row r="752" spans="1:29" ht="15.75" thickBot="1" x14ac:dyDescent="0.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</row>
    <row r="753" spans="1:29" ht="15.75" thickBot="1" x14ac:dyDescent="0.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</row>
    <row r="754" spans="1:29" ht="15.75" thickBot="1" x14ac:dyDescent="0.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</row>
    <row r="755" spans="1:29" ht="15.75" thickBot="1" x14ac:dyDescent="0.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</row>
    <row r="756" spans="1:29" ht="15.75" thickBot="1" x14ac:dyDescent="0.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</row>
    <row r="757" spans="1:29" ht="15.75" thickBot="1" x14ac:dyDescent="0.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</row>
    <row r="758" spans="1:29" ht="15.75" thickBot="1" x14ac:dyDescent="0.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</row>
    <row r="759" spans="1:29" ht="15.75" thickBot="1" x14ac:dyDescent="0.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</row>
    <row r="760" spans="1:29" ht="15.75" thickBot="1" x14ac:dyDescent="0.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</row>
    <row r="761" spans="1:29" ht="15.75" thickBot="1" x14ac:dyDescent="0.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</row>
    <row r="762" spans="1:29" ht="15.75" thickBot="1" x14ac:dyDescent="0.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</row>
    <row r="763" spans="1:29" ht="15.75" thickBot="1" x14ac:dyDescent="0.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</row>
    <row r="764" spans="1:29" ht="15.75" thickBot="1" x14ac:dyDescent="0.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</row>
    <row r="765" spans="1:29" ht="15.75" thickBot="1" x14ac:dyDescent="0.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</row>
    <row r="766" spans="1:29" ht="15.75" thickBot="1" x14ac:dyDescent="0.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</row>
    <row r="767" spans="1:29" ht="15.75" thickBot="1" x14ac:dyDescent="0.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</row>
    <row r="768" spans="1:29" ht="15.75" thickBot="1" x14ac:dyDescent="0.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</row>
    <row r="769" spans="1:29" ht="15.75" thickBot="1" x14ac:dyDescent="0.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</row>
    <row r="770" spans="1:29" ht="15.75" thickBot="1" x14ac:dyDescent="0.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</row>
    <row r="771" spans="1:29" ht="15.75" thickBot="1" x14ac:dyDescent="0.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</row>
    <row r="772" spans="1:29" ht="15.75" thickBot="1" x14ac:dyDescent="0.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</row>
    <row r="773" spans="1:29" ht="15.75" thickBot="1" x14ac:dyDescent="0.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</row>
    <row r="774" spans="1:29" ht="15.75" thickBot="1" x14ac:dyDescent="0.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</row>
    <row r="775" spans="1:29" ht="15.75" thickBot="1" x14ac:dyDescent="0.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</row>
    <row r="776" spans="1:29" ht="15.75" thickBot="1" x14ac:dyDescent="0.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</row>
    <row r="777" spans="1:29" ht="15.75" thickBot="1" x14ac:dyDescent="0.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</row>
    <row r="778" spans="1:29" ht="15.75" thickBot="1" x14ac:dyDescent="0.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</row>
    <row r="779" spans="1:29" ht="15.75" thickBot="1" x14ac:dyDescent="0.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</row>
    <row r="780" spans="1:29" ht="15.75" thickBot="1" x14ac:dyDescent="0.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</row>
    <row r="781" spans="1:29" ht="15.75" thickBot="1" x14ac:dyDescent="0.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</row>
    <row r="782" spans="1:29" ht="15.75" thickBot="1" x14ac:dyDescent="0.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</row>
    <row r="783" spans="1:29" ht="15.75" thickBot="1" x14ac:dyDescent="0.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</row>
    <row r="784" spans="1:29" ht="15.75" thickBot="1" x14ac:dyDescent="0.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</row>
    <row r="785" spans="1:29" ht="15.75" thickBot="1" x14ac:dyDescent="0.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</row>
    <row r="786" spans="1:29" ht="15.75" thickBot="1" x14ac:dyDescent="0.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</row>
    <row r="787" spans="1:29" ht="15.75" thickBot="1" x14ac:dyDescent="0.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</row>
    <row r="788" spans="1:29" ht="15.75" thickBot="1" x14ac:dyDescent="0.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</row>
    <row r="789" spans="1:29" ht="15.75" thickBot="1" x14ac:dyDescent="0.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</row>
    <row r="790" spans="1:29" ht="15.75" thickBot="1" x14ac:dyDescent="0.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</row>
    <row r="791" spans="1:29" ht="15.75" thickBot="1" x14ac:dyDescent="0.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</row>
    <row r="792" spans="1:29" ht="15.75" thickBot="1" x14ac:dyDescent="0.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</row>
    <row r="793" spans="1:29" ht="15.75" thickBot="1" x14ac:dyDescent="0.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</row>
    <row r="794" spans="1:29" ht="15.75" thickBot="1" x14ac:dyDescent="0.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</row>
    <row r="795" spans="1:29" ht="15.75" thickBot="1" x14ac:dyDescent="0.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</row>
    <row r="796" spans="1:29" ht="15.75" thickBot="1" x14ac:dyDescent="0.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</row>
    <row r="797" spans="1:29" ht="15.75" thickBot="1" x14ac:dyDescent="0.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</row>
    <row r="798" spans="1:29" ht="15.75" thickBot="1" x14ac:dyDescent="0.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</row>
    <row r="799" spans="1:29" ht="15.75" thickBot="1" x14ac:dyDescent="0.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</row>
    <row r="800" spans="1:29" ht="15.75" thickBot="1" x14ac:dyDescent="0.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</row>
    <row r="801" spans="1:29" ht="15.75" thickBot="1" x14ac:dyDescent="0.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</row>
    <row r="802" spans="1:29" ht="15.75" thickBot="1" x14ac:dyDescent="0.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</row>
    <row r="803" spans="1:29" ht="15.75" thickBot="1" x14ac:dyDescent="0.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</row>
    <row r="804" spans="1:29" ht="15.75" thickBot="1" x14ac:dyDescent="0.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</row>
    <row r="805" spans="1:29" ht="15.75" thickBot="1" x14ac:dyDescent="0.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</row>
    <row r="806" spans="1:29" ht="15.75" thickBot="1" x14ac:dyDescent="0.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</row>
    <row r="807" spans="1:29" ht="15.75" thickBot="1" x14ac:dyDescent="0.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</row>
    <row r="808" spans="1:29" ht="15.75" thickBot="1" x14ac:dyDescent="0.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</row>
    <row r="809" spans="1:29" ht="15.75" thickBot="1" x14ac:dyDescent="0.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</row>
    <row r="810" spans="1:29" ht="15.75" thickBot="1" x14ac:dyDescent="0.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</row>
    <row r="811" spans="1:29" ht="15.75" thickBot="1" x14ac:dyDescent="0.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</row>
    <row r="812" spans="1:29" ht="15.75" thickBot="1" x14ac:dyDescent="0.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</row>
    <row r="813" spans="1:29" ht="15.75" thickBot="1" x14ac:dyDescent="0.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</row>
    <row r="814" spans="1:29" ht="15.75" thickBot="1" x14ac:dyDescent="0.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</row>
    <row r="815" spans="1:29" ht="15.75" thickBot="1" x14ac:dyDescent="0.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</row>
    <row r="816" spans="1:29" ht="15.75" thickBot="1" x14ac:dyDescent="0.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</row>
    <row r="817" spans="1:29" ht="15.75" thickBot="1" x14ac:dyDescent="0.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</row>
    <row r="818" spans="1:29" ht="15.75" thickBot="1" x14ac:dyDescent="0.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</row>
    <row r="819" spans="1:29" ht="15.75" thickBot="1" x14ac:dyDescent="0.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</row>
    <row r="820" spans="1:29" ht="15.75" thickBot="1" x14ac:dyDescent="0.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</row>
    <row r="821" spans="1:29" ht="15.75" thickBot="1" x14ac:dyDescent="0.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</row>
    <row r="822" spans="1:29" ht="15.75" thickBot="1" x14ac:dyDescent="0.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</row>
    <row r="823" spans="1:29" ht="15.75" thickBot="1" x14ac:dyDescent="0.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</row>
    <row r="824" spans="1:29" ht="15.75" thickBot="1" x14ac:dyDescent="0.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</row>
    <row r="825" spans="1:29" ht="15.75" thickBot="1" x14ac:dyDescent="0.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</row>
    <row r="826" spans="1:29" ht="15.75" thickBot="1" x14ac:dyDescent="0.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</row>
    <row r="827" spans="1:29" ht="15.75" thickBot="1" x14ac:dyDescent="0.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</row>
    <row r="828" spans="1:29" ht="15.75" thickBot="1" x14ac:dyDescent="0.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</row>
    <row r="829" spans="1:29" ht="15.75" thickBot="1" x14ac:dyDescent="0.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</row>
    <row r="830" spans="1:29" ht="15.75" thickBot="1" x14ac:dyDescent="0.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</row>
    <row r="831" spans="1:29" ht="15.75" thickBot="1" x14ac:dyDescent="0.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</row>
    <row r="832" spans="1:29" ht="15.75" thickBot="1" x14ac:dyDescent="0.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</row>
    <row r="833" spans="1:29" ht="15.75" thickBot="1" x14ac:dyDescent="0.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</row>
    <row r="834" spans="1:29" ht="15.75" thickBot="1" x14ac:dyDescent="0.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</row>
    <row r="835" spans="1:29" ht="15.75" thickBot="1" x14ac:dyDescent="0.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</row>
    <row r="836" spans="1:29" ht="15.75" thickBot="1" x14ac:dyDescent="0.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</row>
    <row r="837" spans="1:29" ht="15.75" thickBot="1" x14ac:dyDescent="0.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</row>
    <row r="838" spans="1:29" ht="15.75" thickBot="1" x14ac:dyDescent="0.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</row>
    <row r="839" spans="1:29" ht="15.75" thickBot="1" x14ac:dyDescent="0.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</row>
    <row r="840" spans="1:29" ht="15.75" thickBot="1" x14ac:dyDescent="0.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</row>
    <row r="841" spans="1:29" ht="15.75" thickBot="1" x14ac:dyDescent="0.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</row>
    <row r="842" spans="1:29" ht="15.75" thickBot="1" x14ac:dyDescent="0.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</row>
    <row r="843" spans="1:29" ht="15.75" thickBot="1" x14ac:dyDescent="0.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</row>
    <row r="844" spans="1:29" ht="15.75" thickBot="1" x14ac:dyDescent="0.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</row>
    <row r="845" spans="1:29" ht="15.75" thickBot="1" x14ac:dyDescent="0.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</row>
    <row r="846" spans="1:29" ht="15.75" thickBot="1" x14ac:dyDescent="0.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</row>
    <row r="847" spans="1:29" ht="15.75" thickBot="1" x14ac:dyDescent="0.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</row>
    <row r="848" spans="1:29" ht="15.75" thickBot="1" x14ac:dyDescent="0.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</row>
    <row r="849" spans="1:29" ht="15.75" thickBot="1" x14ac:dyDescent="0.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</row>
    <row r="850" spans="1:29" ht="15.75" thickBot="1" x14ac:dyDescent="0.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</row>
    <row r="851" spans="1:29" ht="15.75" thickBot="1" x14ac:dyDescent="0.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</row>
    <row r="852" spans="1:29" ht="15.75" thickBot="1" x14ac:dyDescent="0.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</row>
    <row r="853" spans="1:29" ht="15.75" thickBot="1" x14ac:dyDescent="0.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</row>
    <row r="854" spans="1:29" ht="15.75" thickBot="1" x14ac:dyDescent="0.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</row>
    <row r="855" spans="1:29" ht="15.75" thickBot="1" x14ac:dyDescent="0.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</row>
    <row r="856" spans="1:29" ht="15.75" thickBot="1" x14ac:dyDescent="0.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</row>
    <row r="857" spans="1:29" ht="15.75" thickBot="1" x14ac:dyDescent="0.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</row>
    <row r="858" spans="1:29" ht="15.75" thickBot="1" x14ac:dyDescent="0.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</row>
    <row r="859" spans="1:29" ht="15.75" thickBot="1" x14ac:dyDescent="0.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</row>
    <row r="860" spans="1:29" ht="15.75" thickBot="1" x14ac:dyDescent="0.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</row>
    <row r="861" spans="1:29" ht="15.75" thickBot="1" x14ac:dyDescent="0.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</row>
    <row r="862" spans="1:29" ht="15.75" thickBot="1" x14ac:dyDescent="0.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</row>
    <row r="863" spans="1:29" ht="15.75" thickBot="1" x14ac:dyDescent="0.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</row>
    <row r="864" spans="1:29" ht="15.75" thickBot="1" x14ac:dyDescent="0.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</row>
    <row r="865" spans="1:29" ht="15.75" thickBot="1" x14ac:dyDescent="0.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</row>
    <row r="866" spans="1:29" ht="15.75" thickBot="1" x14ac:dyDescent="0.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</row>
    <row r="867" spans="1:29" ht="15.75" thickBot="1" x14ac:dyDescent="0.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</row>
    <row r="868" spans="1:29" ht="15.75" thickBot="1" x14ac:dyDescent="0.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</row>
    <row r="869" spans="1:29" ht="15.75" thickBot="1" x14ac:dyDescent="0.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</row>
    <row r="870" spans="1:29" ht="15.75" thickBot="1" x14ac:dyDescent="0.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</row>
    <row r="871" spans="1:29" ht="15.75" thickBot="1" x14ac:dyDescent="0.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</row>
    <row r="872" spans="1:29" ht="15.75" thickBot="1" x14ac:dyDescent="0.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</row>
    <row r="873" spans="1:29" ht="15.75" thickBot="1" x14ac:dyDescent="0.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</row>
    <row r="874" spans="1:29" ht="15.75" thickBot="1" x14ac:dyDescent="0.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</row>
    <row r="875" spans="1:29" ht="15.75" thickBot="1" x14ac:dyDescent="0.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</row>
    <row r="876" spans="1:29" ht="15.75" thickBot="1" x14ac:dyDescent="0.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</row>
    <row r="877" spans="1:29" ht="15.75" thickBot="1" x14ac:dyDescent="0.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</row>
    <row r="878" spans="1:29" ht="15.75" thickBot="1" x14ac:dyDescent="0.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</row>
    <row r="879" spans="1:29" ht="15.75" thickBot="1" x14ac:dyDescent="0.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</row>
    <row r="880" spans="1:29" ht="15.75" thickBot="1" x14ac:dyDescent="0.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</row>
    <row r="881" spans="1:29" ht="15.75" thickBot="1" x14ac:dyDescent="0.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</row>
    <row r="882" spans="1:29" ht="15.75" thickBot="1" x14ac:dyDescent="0.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</row>
    <row r="883" spans="1:29" ht="15.75" thickBot="1" x14ac:dyDescent="0.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</row>
    <row r="884" spans="1:29" ht="15.75" thickBot="1" x14ac:dyDescent="0.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</row>
    <row r="885" spans="1:29" ht="15.75" thickBot="1" x14ac:dyDescent="0.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</row>
    <row r="886" spans="1:29" ht="15.75" thickBot="1" x14ac:dyDescent="0.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</row>
    <row r="887" spans="1:29" ht="15.75" thickBot="1" x14ac:dyDescent="0.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</row>
    <row r="888" spans="1:29" ht="15.75" thickBot="1" x14ac:dyDescent="0.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</row>
    <row r="889" spans="1:29" ht="15.75" thickBot="1" x14ac:dyDescent="0.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</row>
    <row r="890" spans="1:29" ht="15.75" thickBot="1" x14ac:dyDescent="0.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</row>
    <row r="891" spans="1:29" ht="15.75" thickBot="1" x14ac:dyDescent="0.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</row>
    <row r="892" spans="1:29" ht="15.75" thickBot="1" x14ac:dyDescent="0.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</row>
    <row r="893" spans="1:29" ht="15.75" thickBot="1" x14ac:dyDescent="0.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</row>
    <row r="894" spans="1:29" ht="15.75" thickBot="1" x14ac:dyDescent="0.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</row>
    <row r="895" spans="1:29" ht="15.75" thickBot="1" x14ac:dyDescent="0.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</row>
    <row r="896" spans="1:29" ht="15.75" thickBot="1" x14ac:dyDescent="0.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</row>
    <row r="897" spans="1:29" ht="15.75" thickBot="1" x14ac:dyDescent="0.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</row>
    <row r="898" spans="1:29" ht="15.75" thickBot="1" x14ac:dyDescent="0.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</row>
    <row r="899" spans="1:29" ht="15.75" thickBot="1" x14ac:dyDescent="0.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</row>
    <row r="900" spans="1:29" ht="15.75" thickBot="1" x14ac:dyDescent="0.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</row>
    <row r="901" spans="1:29" ht="15.75" thickBot="1" x14ac:dyDescent="0.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</row>
    <row r="902" spans="1:29" ht="15.75" thickBot="1" x14ac:dyDescent="0.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</row>
    <row r="903" spans="1:29" ht="15.75" thickBot="1" x14ac:dyDescent="0.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</row>
    <row r="904" spans="1:29" ht="15.75" thickBot="1" x14ac:dyDescent="0.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</row>
    <row r="905" spans="1:29" ht="15.75" thickBot="1" x14ac:dyDescent="0.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</row>
    <row r="906" spans="1:29" ht="15.75" thickBot="1" x14ac:dyDescent="0.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</row>
    <row r="907" spans="1:29" ht="15.75" thickBot="1" x14ac:dyDescent="0.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</row>
    <row r="908" spans="1:29" ht="15.75" thickBot="1" x14ac:dyDescent="0.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</row>
    <row r="909" spans="1:29" ht="15.75" thickBot="1" x14ac:dyDescent="0.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</row>
    <row r="910" spans="1:29" ht="15.75" thickBot="1" x14ac:dyDescent="0.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</row>
    <row r="911" spans="1:29" ht="15.75" thickBot="1" x14ac:dyDescent="0.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</row>
    <row r="912" spans="1:29" ht="15.75" thickBot="1" x14ac:dyDescent="0.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</row>
    <row r="913" spans="1:29" ht="15.75" thickBot="1" x14ac:dyDescent="0.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</row>
    <row r="914" spans="1:29" ht="15.75" thickBot="1" x14ac:dyDescent="0.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</row>
    <row r="915" spans="1:29" ht="15.75" thickBot="1" x14ac:dyDescent="0.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</row>
    <row r="916" spans="1:29" ht="15.75" thickBot="1" x14ac:dyDescent="0.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</row>
    <row r="917" spans="1:29" ht="15.75" thickBot="1" x14ac:dyDescent="0.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</row>
    <row r="918" spans="1:29" ht="15.75" thickBot="1" x14ac:dyDescent="0.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</row>
    <row r="919" spans="1:29" ht="15.75" thickBot="1" x14ac:dyDescent="0.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</row>
    <row r="920" spans="1:29" ht="15.75" thickBot="1" x14ac:dyDescent="0.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</row>
    <row r="921" spans="1:29" ht="15.75" thickBot="1" x14ac:dyDescent="0.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</row>
    <row r="922" spans="1:29" ht="15.75" thickBot="1" x14ac:dyDescent="0.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</row>
    <row r="923" spans="1:29" ht="15.75" thickBot="1" x14ac:dyDescent="0.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</row>
    <row r="924" spans="1:29" ht="15.75" thickBot="1" x14ac:dyDescent="0.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</row>
    <row r="925" spans="1:29" ht="15.75" thickBot="1" x14ac:dyDescent="0.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</row>
    <row r="926" spans="1:29" ht="15.75" thickBot="1" x14ac:dyDescent="0.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</row>
    <row r="927" spans="1:29" ht="15.75" thickBot="1" x14ac:dyDescent="0.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</row>
    <row r="928" spans="1:29" ht="15.75" thickBot="1" x14ac:dyDescent="0.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</row>
    <row r="929" spans="1:29" ht="15.75" thickBot="1" x14ac:dyDescent="0.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</row>
    <row r="930" spans="1:29" ht="15.75" thickBot="1" x14ac:dyDescent="0.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</row>
    <row r="931" spans="1:29" ht="15.75" thickBot="1" x14ac:dyDescent="0.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</row>
    <row r="932" spans="1:29" ht="15.75" thickBot="1" x14ac:dyDescent="0.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</row>
    <row r="933" spans="1:29" ht="15.75" thickBot="1" x14ac:dyDescent="0.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</row>
    <row r="934" spans="1:29" ht="15.75" thickBot="1" x14ac:dyDescent="0.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</row>
    <row r="935" spans="1:29" ht="15.75" thickBot="1" x14ac:dyDescent="0.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</row>
    <row r="936" spans="1:29" ht="15.75" thickBot="1" x14ac:dyDescent="0.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</row>
    <row r="937" spans="1:29" ht="15.75" thickBot="1" x14ac:dyDescent="0.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</row>
    <row r="938" spans="1:29" ht="15.75" thickBot="1" x14ac:dyDescent="0.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</row>
    <row r="939" spans="1:29" ht="15.75" thickBot="1" x14ac:dyDescent="0.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</row>
    <row r="940" spans="1:29" ht="15.75" thickBot="1" x14ac:dyDescent="0.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</row>
    <row r="941" spans="1:29" ht="15.75" thickBot="1" x14ac:dyDescent="0.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</row>
    <row r="942" spans="1:29" ht="15.75" thickBot="1" x14ac:dyDescent="0.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</row>
    <row r="943" spans="1:29" ht="15.75" thickBot="1" x14ac:dyDescent="0.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</row>
    <row r="944" spans="1:29" ht="15.75" thickBot="1" x14ac:dyDescent="0.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</row>
    <row r="945" spans="1:29" ht="15.75" thickBot="1" x14ac:dyDescent="0.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</row>
    <row r="946" spans="1:29" ht="15.75" thickBot="1" x14ac:dyDescent="0.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</row>
    <row r="947" spans="1:29" ht="15.75" thickBot="1" x14ac:dyDescent="0.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</row>
    <row r="948" spans="1:29" ht="15.75" thickBot="1" x14ac:dyDescent="0.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</row>
    <row r="949" spans="1:29" ht="15.75" thickBot="1" x14ac:dyDescent="0.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</row>
    <row r="950" spans="1:29" ht="15.75" thickBot="1" x14ac:dyDescent="0.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</row>
    <row r="951" spans="1:29" ht="15.75" thickBot="1" x14ac:dyDescent="0.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</row>
    <row r="952" spans="1:29" ht="15.75" thickBot="1" x14ac:dyDescent="0.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</row>
    <row r="953" spans="1:29" ht="15.75" thickBot="1" x14ac:dyDescent="0.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</row>
    <row r="954" spans="1:29" ht="15.75" thickBot="1" x14ac:dyDescent="0.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</row>
    <row r="955" spans="1:29" ht="15.75" thickBot="1" x14ac:dyDescent="0.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</row>
    <row r="956" spans="1:29" ht="15.75" thickBot="1" x14ac:dyDescent="0.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</row>
    <row r="957" spans="1:29" ht="15.75" thickBot="1" x14ac:dyDescent="0.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</row>
    <row r="958" spans="1:29" ht="15.75" thickBot="1" x14ac:dyDescent="0.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</row>
    <row r="959" spans="1:29" ht="15.75" thickBot="1" x14ac:dyDescent="0.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</row>
    <row r="960" spans="1:29" ht="15.75" thickBot="1" x14ac:dyDescent="0.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</row>
    <row r="961" spans="1:29" ht="15.75" thickBot="1" x14ac:dyDescent="0.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</row>
    <row r="962" spans="1:29" ht="15.75" thickBot="1" x14ac:dyDescent="0.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</row>
    <row r="963" spans="1:29" ht="15.75" thickBot="1" x14ac:dyDescent="0.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</row>
    <row r="964" spans="1:29" ht="15.75" thickBot="1" x14ac:dyDescent="0.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</row>
    <row r="965" spans="1:29" ht="15.75" thickBot="1" x14ac:dyDescent="0.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</row>
    <row r="966" spans="1:29" ht="15.75" thickBot="1" x14ac:dyDescent="0.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</row>
    <row r="967" spans="1:29" ht="15.75" thickBot="1" x14ac:dyDescent="0.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</row>
    <row r="968" spans="1:29" ht="15.75" thickBot="1" x14ac:dyDescent="0.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</row>
    <row r="969" spans="1:29" ht="15.75" thickBot="1" x14ac:dyDescent="0.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</row>
    <row r="970" spans="1:29" ht="15.75" thickBot="1" x14ac:dyDescent="0.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</row>
    <row r="971" spans="1:29" ht="15.75" thickBot="1" x14ac:dyDescent="0.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</row>
    <row r="972" spans="1:29" ht="15.75" thickBot="1" x14ac:dyDescent="0.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</row>
    <row r="973" spans="1:29" ht="15.75" thickBot="1" x14ac:dyDescent="0.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</row>
    <row r="974" spans="1:29" ht="15.75" thickBot="1" x14ac:dyDescent="0.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</row>
    <row r="975" spans="1:29" ht="15.75" thickBot="1" x14ac:dyDescent="0.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</row>
    <row r="976" spans="1:29" ht="15.75" thickBot="1" x14ac:dyDescent="0.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</row>
    <row r="977" spans="1:29" ht="15.75" thickBot="1" x14ac:dyDescent="0.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</row>
    <row r="978" spans="1:29" ht="15.75" thickBot="1" x14ac:dyDescent="0.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</row>
    <row r="979" spans="1:29" ht="15.75" thickBot="1" x14ac:dyDescent="0.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</row>
    <row r="980" spans="1:29" ht="15.75" thickBot="1" x14ac:dyDescent="0.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</row>
    <row r="981" spans="1:29" ht="15.75" thickBot="1" x14ac:dyDescent="0.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</row>
    <row r="982" spans="1:29" ht="15.75" thickBot="1" x14ac:dyDescent="0.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</row>
    <row r="983" spans="1:29" ht="15.75" thickBot="1" x14ac:dyDescent="0.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</row>
    <row r="984" spans="1:29" ht="15.75" thickBot="1" x14ac:dyDescent="0.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</row>
    <row r="985" spans="1:29" ht="15.75" thickBot="1" x14ac:dyDescent="0.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</row>
    <row r="986" spans="1:29" ht="15.75" thickBot="1" x14ac:dyDescent="0.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</row>
    <row r="987" spans="1:29" ht="15.75" thickBot="1" x14ac:dyDescent="0.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</row>
    <row r="988" spans="1:29" ht="15.75" thickBot="1" x14ac:dyDescent="0.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</row>
    <row r="989" spans="1:29" ht="15.75" thickBot="1" x14ac:dyDescent="0.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</row>
    <row r="990" spans="1:29" ht="15.75" thickBot="1" x14ac:dyDescent="0.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</row>
    <row r="991" spans="1:29" ht="15.75" thickBot="1" x14ac:dyDescent="0.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</row>
    <row r="992" spans="1:29" ht="15.75" thickBot="1" x14ac:dyDescent="0.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</row>
    <row r="993" spans="1:29" ht="15.75" thickBot="1" x14ac:dyDescent="0.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</row>
    <row r="994" spans="1:29" ht="15.75" thickBot="1" x14ac:dyDescent="0.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</row>
    <row r="995" spans="1:29" ht="15.75" thickBot="1" x14ac:dyDescent="0.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</row>
    <row r="996" spans="1:29" ht="15.75" thickBot="1" x14ac:dyDescent="0.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</row>
    <row r="997" spans="1:29" ht="15.75" thickBot="1" x14ac:dyDescent="0.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</row>
    <row r="998" spans="1:29" ht="15.75" thickBot="1" x14ac:dyDescent="0.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</row>
    <row r="999" spans="1:29" ht="15.75" thickBot="1" x14ac:dyDescent="0.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</row>
    <row r="1000" spans="1:29" ht="15.75" thickBot="1" x14ac:dyDescent="0.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</row>
    <row r="1001" spans="1:29" ht="15.75" thickBot="1" x14ac:dyDescent="0.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</row>
    <row r="1002" spans="1:29" ht="15.75" thickBot="1" x14ac:dyDescent="0.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</row>
    <row r="1003" spans="1:29" ht="15.75" thickBot="1" x14ac:dyDescent="0.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</row>
  </sheetData>
  <mergeCells count="1">
    <mergeCell ref="D3:G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705"/>
  <sheetViews>
    <sheetView tabSelected="1" view="pageBreakPreview" topLeftCell="A22" zoomScaleNormal="100" zoomScaleSheetLayoutView="100" zoomScalePageLayoutView="70" workbookViewId="0">
      <selection activeCell="H47" sqref="H47"/>
    </sheetView>
  </sheetViews>
  <sheetFormatPr defaultColWidth="7.85546875" defaultRowHeight="15" x14ac:dyDescent="0.25"/>
  <cols>
    <col min="1" max="1" width="68.5703125" style="65" customWidth="1"/>
    <col min="2" max="2" width="14.85546875" style="92" customWidth="1"/>
    <col min="3" max="3" width="14.42578125" style="93" customWidth="1"/>
    <col min="4" max="9" width="13.140625" style="65" customWidth="1"/>
    <col min="10" max="10" width="11.140625" style="65" customWidth="1"/>
    <col min="11" max="11" width="11.28515625" style="65" customWidth="1"/>
    <col min="12" max="16384" width="7.85546875" style="65"/>
  </cols>
  <sheetData>
    <row r="1" spans="1:19" x14ac:dyDescent="0.25">
      <c r="A1" s="63" t="s">
        <v>132</v>
      </c>
      <c r="B1" s="64"/>
      <c r="C1" s="64"/>
    </row>
    <row r="2" spans="1:19" s="69" customFormat="1" x14ac:dyDescent="0.25">
      <c r="A2" s="66" t="s">
        <v>133</v>
      </c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s="69" customFormat="1" ht="16.5" customHeight="1" x14ac:dyDescent="0.25">
      <c r="A3" s="70" t="s">
        <v>134</v>
      </c>
      <c r="B3" s="67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s="63" customFormat="1" ht="16.149999999999999" customHeight="1" x14ac:dyDescent="0.25">
      <c r="A4" s="69" t="s">
        <v>135</v>
      </c>
      <c r="B4" s="70"/>
      <c r="C4" s="70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s="69" customFormat="1" ht="16.149999999999999" customHeight="1" x14ac:dyDescent="0.25">
      <c r="A5" s="116" t="s">
        <v>188</v>
      </c>
      <c r="B5" s="66"/>
      <c r="C5" s="66"/>
    </row>
    <row r="6" spans="1:19" s="69" customFormat="1" ht="16.149999999999999" customHeight="1" x14ac:dyDescent="0.25">
      <c r="A6" s="116" t="s">
        <v>337</v>
      </c>
      <c r="B6" s="66"/>
      <c r="C6" s="66"/>
    </row>
    <row r="7" spans="1:19" s="69" customFormat="1" ht="16.149999999999999" customHeight="1" x14ac:dyDescent="0.25">
      <c r="A7" s="116" t="s">
        <v>189</v>
      </c>
      <c r="B7" s="66"/>
      <c r="C7" s="66"/>
    </row>
    <row r="8" spans="1:19" s="69" customFormat="1" ht="16.149999999999999" customHeight="1" x14ac:dyDescent="0.25">
      <c r="A8" s="117" t="s">
        <v>332</v>
      </c>
      <c r="B8" s="66"/>
      <c r="C8" s="66"/>
    </row>
    <row r="9" spans="1:19" s="68" customFormat="1" ht="16.149999999999999" customHeight="1" x14ac:dyDescent="0.25">
      <c r="A9" s="116" t="s">
        <v>338</v>
      </c>
      <c r="B9" s="66"/>
      <c r="C9" s="66"/>
      <c r="D9" s="69"/>
      <c r="E9" s="69"/>
      <c r="F9" s="69"/>
      <c r="G9" s="69"/>
      <c r="H9" s="69"/>
      <c r="I9" s="69"/>
      <c r="J9" s="69"/>
      <c r="K9" s="69"/>
    </row>
    <row r="10" spans="1:19" s="69" customFormat="1" ht="16.149999999999999" customHeight="1" x14ac:dyDescent="0.25">
      <c r="A10" s="118" t="s">
        <v>325</v>
      </c>
      <c r="B10" s="66"/>
      <c r="C10" s="66"/>
      <c r="D10" s="71"/>
      <c r="E10" s="71"/>
      <c r="G10" s="66"/>
      <c r="H10" s="66"/>
    </row>
    <row r="11" spans="1:19" ht="33.6" customHeight="1" thickBot="1" x14ac:dyDescent="0.3">
      <c r="A11" s="72" t="s">
        <v>136</v>
      </c>
      <c r="B11" s="73"/>
      <c r="C11" s="74" t="s">
        <v>137</v>
      </c>
      <c r="D11" s="75" t="s">
        <v>138</v>
      </c>
      <c r="E11" s="74" t="s">
        <v>139</v>
      </c>
      <c r="F11" s="63"/>
      <c r="G11" s="66"/>
      <c r="H11" s="70"/>
      <c r="I11" s="63"/>
      <c r="J11" s="63"/>
      <c r="K11" s="63"/>
      <c r="L11" s="63"/>
    </row>
    <row r="12" spans="1:19" ht="15.75" thickTop="1" x14ac:dyDescent="0.25">
      <c r="A12" s="339" t="s">
        <v>140</v>
      </c>
      <c r="B12" s="340"/>
      <c r="C12" s="76"/>
      <c r="D12" s="77"/>
      <c r="E12" s="78"/>
      <c r="F12" s="63"/>
      <c r="G12" s="70"/>
      <c r="H12" s="70"/>
      <c r="I12" s="63"/>
      <c r="J12" s="63"/>
      <c r="K12" s="63"/>
      <c r="L12" s="63"/>
    </row>
    <row r="13" spans="1:19" x14ac:dyDescent="0.25">
      <c r="A13" s="341" t="s">
        <v>141</v>
      </c>
      <c r="B13" s="342"/>
      <c r="C13" s="314">
        <f>'Activity 1'!AC35+'Activity 2'!L22+Actvity3!L33</f>
        <v>184964.5531123401</v>
      </c>
      <c r="D13" s="80">
        <v>0</v>
      </c>
      <c r="F13" s="70"/>
      <c r="G13" s="66"/>
      <c r="H13" s="70"/>
      <c r="I13" s="70"/>
      <c r="J13" s="70"/>
      <c r="K13" s="70"/>
      <c r="L13" s="70"/>
      <c r="M13" s="64"/>
    </row>
    <row r="14" spans="1:19" ht="16.149999999999999" customHeight="1" x14ac:dyDescent="0.25">
      <c r="A14" s="343" t="s">
        <v>328</v>
      </c>
      <c r="B14" s="344"/>
      <c r="C14" s="315"/>
      <c r="D14" s="81"/>
      <c r="E14" s="120"/>
      <c r="F14" s="121"/>
      <c r="G14" s="121"/>
      <c r="H14" s="328"/>
      <c r="J14" s="70"/>
      <c r="K14" s="70"/>
      <c r="L14" s="70"/>
      <c r="M14" s="64"/>
    </row>
    <row r="15" spans="1:19" ht="16.149999999999999" customHeight="1" x14ac:dyDescent="0.25">
      <c r="A15" s="335" t="s">
        <v>329</v>
      </c>
      <c r="B15" s="336"/>
      <c r="C15" s="316"/>
      <c r="D15" s="81"/>
      <c r="E15" s="81"/>
      <c r="F15" s="70"/>
      <c r="G15" s="121"/>
      <c r="H15" s="328"/>
      <c r="I15" s="70"/>
      <c r="J15" s="70"/>
      <c r="K15" s="70"/>
      <c r="L15" s="70"/>
      <c r="M15" s="64"/>
    </row>
    <row r="16" spans="1:19" ht="43.9" customHeight="1" x14ac:dyDescent="0.25">
      <c r="A16" s="335" t="s">
        <v>336</v>
      </c>
      <c r="B16" s="336"/>
      <c r="C16" s="316"/>
      <c r="D16" s="81"/>
      <c r="E16" s="81"/>
      <c r="F16" s="70"/>
      <c r="G16" s="121"/>
      <c r="H16" s="328"/>
      <c r="I16" s="70"/>
      <c r="J16" s="70"/>
      <c r="K16" s="70"/>
      <c r="L16" s="70"/>
      <c r="M16" s="64"/>
    </row>
    <row r="17" spans="1:13" ht="17.45" customHeight="1" x14ac:dyDescent="0.25">
      <c r="A17" s="317" t="s">
        <v>315</v>
      </c>
      <c r="B17" s="316"/>
      <c r="C17" s="316"/>
      <c r="D17" s="81"/>
      <c r="E17" s="81"/>
      <c r="F17" s="70"/>
      <c r="G17" s="121"/>
      <c r="H17" s="328"/>
      <c r="I17" s="70"/>
      <c r="J17" s="70"/>
      <c r="K17" s="70"/>
      <c r="L17" s="70"/>
      <c r="M17" s="64"/>
    </row>
    <row r="18" spans="1:13" ht="28.9" customHeight="1" x14ac:dyDescent="0.25">
      <c r="A18" s="335" t="s">
        <v>327</v>
      </c>
      <c r="B18" s="336"/>
      <c r="C18" s="316"/>
      <c r="D18" s="81"/>
      <c r="E18" s="81"/>
      <c r="F18" s="70"/>
      <c r="G18" s="121"/>
      <c r="H18" s="328"/>
      <c r="I18" s="70"/>
      <c r="J18" s="70"/>
      <c r="K18" s="70"/>
      <c r="L18" s="70"/>
      <c r="M18" s="64"/>
    </row>
    <row r="19" spans="1:13" x14ac:dyDescent="0.25">
      <c r="A19" s="101"/>
      <c r="B19" s="102"/>
      <c r="D19" s="81"/>
      <c r="E19" s="81"/>
      <c r="F19" s="70"/>
      <c r="G19" s="121"/>
      <c r="H19" s="70"/>
      <c r="I19" s="70"/>
      <c r="J19" s="70"/>
      <c r="K19" s="70"/>
      <c r="L19" s="70"/>
      <c r="M19" s="64"/>
    </row>
    <row r="20" spans="1:13" x14ac:dyDescent="0.25">
      <c r="A20" s="337" t="s">
        <v>127</v>
      </c>
      <c r="B20" s="338"/>
      <c r="C20" s="79"/>
      <c r="D20" s="79"/>
      <c r="E20" s="79"/>
      <c r="F20" s="70"/>
      <c r="G20" s="70"/>
      <c r="H20" s="70"/>
      <c r="I20" s="70"/>
      <c r="J20" s="70"/>
      <c r="K20" s="70"/>
      <c r="L20" s="70"/>
      <c r="M20" s="64"/>
    </row>
    <row r="21" spans="1:13" ht="43.9" customHeight="1" x14ac:dyDescent="0.25">
      <c r="A21" s="345" t="s">
        <v>335</v>
      </c>
      <c r="B21" s="346"/>
      <c r="C21" s="79">
        <f>'Activity 2'!L25+'Activity 1'!AC36</f>
        <v>18000</v>
      </c>
      <c r="D21" s="79">
        <v>0</v>
      </c>
      <c r="E21" s="79"/>
      <c r="F21" s="70"/>
      <c r="G21" s="70"/>
      <c r="H21" s="70"/>
      <c r="I21" s="70"/>
      <c r="J21" s="70"/>
      <c r="K21" s="70"/>
      <c r="L21" s="70"/>
      <c r="M21" s="64"/>
    </row>
    <row r="22" spans="1:13" ht="18" customHeight="1" x14ac:dyDescent="0.25">
      <c r="A22" s="349" t="s">
        <v>320</v>
      </c>
      <c r="B22" s="350"/>
      <c r="C22" s="79">
        <f>'Activity 2'!L26</f>
        <v>45000</v>
      </c>
      <c r="D22" s="79">
        <v>0</v>
      </c>
      <c r="E22" s="79"/>
      <c r="F22" s="70"/>
      <c r="G22" s="70"/>
      <c r="H22" s="70"/>
      <c r="I22" s="70"/>
      <c r="J22" s="70"/>
      <c r="K22" s="70"/>
      <c r="L22" s="70"/>
      <c r="M22" s="64"/>
    </row>
    <row r="23" spans="1:13" ht="15.75" customHeight="1" x14ac:dyDescent="0.25">
      <c r="A23" s="349" t="s">
        <v>267</v>
      </c>
      <c r="B23" s="350"/>
      <c r="C23" s="79">
        <f>'Activity 1'!AC38</f>
        <v>8600</v>
      </c>
      <c r="D23" s="79"/>
      <c r="E23" s="79"/>
      <c r="F23" s="70"/>
      <c r="G23" s="70"/>
      <c r="H23" s="70"/>
      <c r="I23" s="70"/>
      <c r="J23" s="70"/>
      <c r="K23" s="70"/>
      <c r="L23" s="70"/>
      <c r="M23" s="64"/>
    </row>
    <row r="24" spans="1:13" x14ac:dyDescent="0.25">
      <c r="A24" s="107"/>
      <c r="B24" s="108"/>
      <c r="C24" s="79"/>
      <c r="D24" s="79"/>
      <c r="E24" s="79"/>
      <c r="F24" s="70"/>
      <c r="G24" s="70"/>
      <c r="H24" s="70"/>
      <c r="I24" s="70"/>
      <c r="J24" s="70"/>
      <c r="K24" s="70"/>
      <c r="L24" s="70"/>
      <c r="M24" s="64"/>
    </row>
    <row r="25" spans="1:13" x14ac:dyDescent="0.25">
      <c r="A25" s="337" t="s">
        <v>142</v>
      </c>
      <c r="B25" s="338"/>
      <c r="C25" s="318"/>
      <c r="D25" s="79"/>
      <c r="E25" s="79"/>
      <c r="F25" s="70"/>
      <c r="G25" s="323"/>
      <c r="H25" s="70"/>
      <c r="I25" s="70"/>
      <c r="J25" s="70"/>
      <c r="K25" s="70"/>
      <c r="L25" s="70"/>
      <c r="M25" s="64"/>
    </row>
    <row r="26" spans="1:13" x14ac:dyDescent="0.25">
      <c r="A26" s="242" t="str">
        <f>'Activity 1'!W42</f>
        <v>Salt-free alternative water conditioning systems</v>
      </c>
      <c r="B26" s="243"/>
      <c r="C26" s="79">
        <f>'Activity 1'!U42</f>
        <v>7500</v>
      </c>
      <c r="D26" s="79">
        <v>0</v>
      </c>
      <c r="E26" s="79"/>
      <c r="F26" s="70"/>
      <c r="G26" s="66"/>
      <c r="H26" s="70"/>
      <c r="I26" s="70"/>
      <c r="J26" s="70"/>
      <c r="K26" s="70"/>
      <c r="L26" s="70"/>
      <c r="M26" s="64"/>
    </row>
    <row r="27" spans="1:13" x14ac:dyDescent="0.25">
      <c r="A27" s="242" t="str">
        <f>'Activity 1'!W43</f>
        <v>Mobile test unit plumbing, water heating and electrical</v>
      </c>
      <c r="B27" s="243"/>
      <c r="C27" s="79">
        <f>'Activity 1'!U43</f>
        <v>9000</v>
      </c>
      <c r="D27" s="79"/>
      <c r="E27" s="79"/>
      <c r="F27" s="70"/>
      <c r="G27" s="310"/>
      <c r="H27" s="70"/>
      <c r="I27" s="70"/>
      <c r="J27" s="70"/>
      <c r="K27" s="70"/>
      <c r="L27" s="70"/>
      <c r="M27" s="64"/>
    </row>
    <row r="28" spans="1:13" x14ac:dyDescent="0.25">
      <c r="A28" s="242" t="str">
        <f>'Activity 1'!W46</f>
        <v>Mobile test unit furnishing, signage, safety equip.</v>
      </c>
      <c r="B28" s="243"/>
      <c r="C28" s="79">
        <f>'Activity 1'!U46</f>
        <v>3700</v>
      </c>
      <c r="D28" s="79"/>
      <c r="E28" s="79"/>
      <c r="F28" s="70"/>
      <c r="G28" s="70"/>
      <c r="H28" s="70"/>
      <c r="I28" s="70"/>
      <c r="J28" s="70"/>
      <c r="K28" s="70"/>
      <c r="L28" s="70"/>
      <c r="M28" s="64"/>
    </row>
    <row r="29" spans="1:13" x14ac:dyDescent="0.25">
      <c r="A29" s="242" t="str">
        <f>'Activity 1'!W48</f>
        <v>Mobile test unit maintenance, repairs, modifications</v>
      </c>
      <c r="B29" s="243"/>
      <c r="C29" s="79">
        <f>'Activity 1'!U48</f>
        <v>3900</v>
      </c>
      <c r="D29" s="79"/>
      <c r="E29" s="79"/>
      <c r="F29" s="70"/>
      <c r="G29" s="70"/>
      <c r="H29" s="70"/>
      <c r="I29" s="70"/>
      <c r="J29" s="70"/>
      <c r="K29" s="70"/>
      <c r="L29" s="70"/>
      <c r="M29" s="64"/>
    </row>
    <row r="30" spans="1:13" x14ac:dyDescent="0.25">
      <c r="A30" s="242" t="str">
        <f>'Activity 1'!W50</f>
        <v>Mobile test unit control and data system, remote communication</v>
      </c>
      <c r="B30" s="243"/>
      <c r="C30" s="79">
        <f>'Activity 1'!U50</f>
        <v>4980</v>
      </c>
      <c r="D30" s="79"/>
      <c r="E30" s="79"/>
      <c r="F30" s="70"/>
      <c r="G30" s="70"/>
      <c r="H30" s="70"/>
      <c r="I30" s="70"/>
      <c r="J30" s="70"/>
      <c r="K30" s="70"/>
      <c r="L30" s="70"/>
      <c r="M30" s="64"/>
    </row>
    <row r="31" spans="1:13" x14ac:dyDescent="0.25">
      <c r="A31" s="242" t="str">
        <f>'Activity 1'!W51</f>
        <v>Chemicals, water test kits, supplies</v>
      </c>
      <c r="B31" s="243"/>
      <c r="C31" s="79">
        <f>'Activity 1'!U51</f>
        <v>5975</v>
      </c>
      <c r="D31" s="79"/>
      <c r="E31" s="79"/>
      <c r="F31" s="70"/>
      <c r="G31" s="70"/>
      <c r="H31" s="70"/>
      <c r="I31" s="70"/>
      <c r="J31" s="70"/>
      <c r="K31" s="70"/>
      <c r="L31" s="70"/>
      <c r="M31" s="64"/>
    </row>
    <row r="32" spans="1:13" x14ac:dyDescent="0.25">
      <c r="A32" s="242" t="s">
        <v>289</v>
      </c>
      <c r="B32" s="243"/>
      <c r="C32" s="79">
        <f>Summary!K18</f>
        <v>400</v>
      </c>
      <c r="D32" s="79"/>
      <c r="E32" s="79"/>
      <c r="F32" s="70"/>
      <c r="G32" s="70"/>
      <c r="H32" s="70"/>
      <c r="I32" s="70"/>
      <c r="J32" s="70"/>
      <c r="K32" s="70"/>
      <c r="L32" s="70"/>
      <c r="M32" s="64"/>
    </row>
    <row r="33" spans="1:13" ht="32.25" customHeight="1" x14ac:dyDescent="0.25">
      <c r="A33" s="349" t="s">
        <v>326</v>
      </c>
      <c r="B33" s="350"/>
      <c r="C33" s="79">
        <f>Actvity3!L34</f>
        <v>50000</v>
      </c>
      <c r="D33" s="79"/>
      <c r="E33" s="79"/>
      <c r="F33" s="70"/>
      <c r="G33" s="70"/>
      <c r="H33" s="70"/>
      <c r="I33" s="70"/>
      <c r="J33" s="70"/>
      <c r="K33" s="70"/>
      <c r="L33" s="70"/>
      <c r="M33" s="64"/>
    </row>
    <row r="34" spans="1:13" x14ac:dyDescent="0.25">
      <c r="A34" s="103"/>
      <c r="B34" s="104"/>
      <c r="C34" s="79"/>
      <c r="D34" s="79"/>
      <c r="E34" s="79"/>
      <c r="F34" s="70"/>
      <c r="G34" s="70"/>
      <c r="H34" s="70"/>
      <c r="I34" s="70"/>
      <c r="J34" s="70"/>
      <c r="K34" s="70"/>
      <c r="L34" s="70"/>
      <c r="M34" s="64"/>
    </row>
    <row r="35" spans="1:13" x14ac:dyDescent="0.25">
      <c r="A35" s="337" t="s">
        <v>130</v>
      </c>
      <c r="B35" s="338"/>
      <c r="C35" s="79"/>
      <c r="D35" s="79"/>
      <c r="E35" s="79"/>
      <c r="F35" s="70"/>
      <c r="G35" s="70"/>
      <c r="H35" s="70"/>
      <c r="I35" s="70"/>
      <c r="J35" s="70"/>
      <c r="K35" s="70"/>
      <c r="L35" s="70"/>
      <c r="M35" s="64"/>
    </row>
    <row r="36" spans="1:13" x14ac:dyDescent="0.25">
      <c r="A36" s="345" t="s">
        <v>321</v>
      </c>
      <c r="B36" s="346"/>
      <c r="C36" s="79">
        <f>'Activity 1'!K55</f>
        <v>8000</v>
      </c>
      <c r="D36" s="79">
        <v>0</v>
      </c>
      <c r="E36" s="79"/>
      <c r="F36" s="70"/>
      <c r="G36" s="70"/>
      <c r="H36" s="70"/>
      <c r="I36" s="70"/>
      <c r="J36" s="70"/>
      <c r="K36" s="70"/>
      <c r="L36" s="70"/>
      <c r="M36" s="64"/>
    </row>
    <row r="37" spans="1:13" hidden="1" x14ac:dyDescent="0.25">
      <c r="A37" s="103"/>
      <c r="B37" s="104"/>
      <c r="C37" s="79"/>
      <c r="D37" s="79"/>
      <c r="E37" s="79"/>
      <c r="F37" s="70"/>
      <c r="G37" s="70"/>
      <c r="H37" s="70"/>
      <c r="I37" s="70"/>
      <c r="J37" s="70"/>
      <c r="K37" s="70"/>
      <c r="L37" s="70"/>
      <c r="M37" s="64"/>
    </row>
    <row r="38" spans="1:13" hidden="1" x14ac:dyDescent="0.25">
      <c r="A38" s="337" t="s">
        <v>143</v>
      </c>
      <c r="B38" s="338"/>
      <c r="C38" s="79"/>
      <c r="D38" s="79"/>
      <c r="E38" s="79"/>
    </row>
    <row r="39" spans="1:13" ht="14.25" hidden="1" customHeight="1" x14ac:dyDescent="0.25">
      <c r="A39" s="347"/>
      <c r="B39" s="348"/>
      <c r="C39" s="79">
        <v>0</v>
      </c>
      <c r="D39" s="79">
        <v>0</v>
      </c>
      <c r="E39" s="79">
        <f t="shared" ref="E39" si="0">C39-D39</f>
        <v>0</v>
      </c>
    </row>
    <row r="40" spans="1:13" hidden="1" x14ac:dyDescent="0.25">
      <c r="A40" s="337" t="s">
        <v>144</v>
      </c>
      <c r="B40" s="338"/>
      <c r="C40" s="79"/>
      <c r="D40" s="79"/>
      <c r="E40" s="79"/>
    </row>
    <row r="41" spans="1:13" hidden="1" x14ac:dyDescent="0.25">
      <c r="A41" s="347"/>
      <c r="B41" s="348"/>
      <c r="C41" s="79">
        <v>0</v>
      </c>
      <c r="D41" s="79">
        <v>0</v>
      </c>
      <c r="E41" s="79">
        <f t="shared" ref="E41" si="1">C41-D41</f>
        <v>0</v>
      </c>
    </row>
    <row r="42" spans="1:13" hidden="1" x14ac:dyDescent="0.25">
      <c r="A42" s="337" t="s">
        <v>145</v>
      </c>
      <c r="B42" s="338"/>
      <c r="C42" s="79"/>
      <c r="D42" s="79"/>
      <c r="E42" s="79"/>
    </row>
    <row r="43" spans="1:13" hidden="1" x14ac:dyDescent="0.25">
      <c r="A43" s="347"/>
      <c r="B43" s="348"/>
      <c r="C43" s="79">
        <v>0</v>
      </c>
      <c r="D43" s="79">
        <v>0</v>
      </c>
      <c r="E43" s="79">
        <f t="shared" ref="E43" si="2">C43-D43</f>
        <v>0</v>
      </c>
    </row>
    <row r="44" spans="1:13" hidden="1" x14ac:dyDescent="0.25">
      <c r="A44" s="337" t="s">
        <v>146</v>
      </c>
      <c r="B44" s="338"/>
      <c r="C44" s="79"/>
      <c r="D44" s="79"/>
      <c r="E44" s="79"/>
    </row>
    <row r="45" spans="1:13" hidden="1" x14ac:dyDescent="0.25">
      <c r="A45" s="105"/>
      <c r="B45" s="106"/>
      <c r="C45" s="79"/>
      <c r="D45" s="79"/>
      <c r="E45" s="79"/>
    </row>
    <row r="46" spans="1:13" x14ac:dyDescent="0.25">
      <c r="A46" s="337" t="s">
        <v>196</v>
      </c>
      <c r="B46" s="338"/>
      <c r="C46" s="79">
        <f>'Activity 1'!AC63+Actvity3!L39</f>
        <v>12679.2</v>
      </c>
      <c r="D46" s="79"/>
      <c r="E46" s="79"/>
      <c r="F46" s="63"/>
      <c r="G46" s="63"/>
      <c r="H46" s="63"/>
      <c r="I46" s="63"/>
      <c r="J46" s="63"/>
      <c r="K46" s="63"/>
      <c r="L46" s="63"/>
      <c r="M46" s="63"/>
    </row>
    <row r="47" spans="1:13" ht="51.75" customHeight="1" x14ac:dyDescent="0.25">
      <c r="A47" s="355" t="str">
        <f>'Activity 1'!N102</f>
        <v>Activity 1 - 3,520 miles at $0.58/mile for 10 outstate sites ($2,042), 7,040 miles at $1/mile tow vehicle for mobile test trailer ($7,040), 16 hotel nights @ $80/night ($1,280), and 32 first/last day per diem @$41.25 ($1,320)</v>
      </c>
      <c r="B47" s="356"/>
      <c r="C47" s="79"/>
      <c r="D47" s="79"/>
      <c r="E47" s="79"/>
      <c r="F47" s="63"/>
      <c r="G47" s="63"/>
      <c r="H47" s="63"/>
      <c r="I47" s="63"/>
      <c r="J47" s="63"/>
      <c r="K47" s="63"/>
      <c r="L47" s="63"/>
      <c r="M47" s="63"/>
    </row>
    <row r="48" spans="1:13" x14ac:dyDescent="0.25">
      <c r="A48" s="345" t="s">
        <v>322</v>
      </c>
      <c r="B48" s="346"/>
      <c r="C48" s="79"/>
      <c r="D48" s="79"/>
      <c r="E48" s="79"/>
    </row>
    <row r="49" spans="1:5" x14ac:dyDescent="0.25">
      <c r="A49" s="337" t="s">
        <v>147</v>
      </c>
      <c r="B49" s="338"/>
      <c r="C49" s="82"/>
      <c r="D49" s="79"/>
      <c r="E49" s="79"/>
    </row>
    <row r="50" spans="1:5" s="64" customFormat="1" ht="15.75" thickBot="1" x14ac:dyDescent="0.3">
      <c r="A50" s="351"/>
      <c r="B50" s="352"/>
      <c r="C50" s="83">
        <v>0</v>
      </c>
      <c r="D50" s="83">
        <v>0</v>
      </c>
      <c r="E50" s="83">
        <f t="shared" ref="E50" si="3">C50-D50</f>
        <v>0</v>
      </c>
    </row>
    <row r="51" spans="1:5" s="64" customFormat="1" ht="15.75" thickTop="1" x14ac:dyDescent="0.25">
      <c r="A51" s="353" t="s">
        <v>148</v>
      </c>
      <c r="B51" s="354"/>
      <c r="C51" s="84">
        <f>SUM(C13:C50)</f>
        <v>362698.75311234011</v>
      </c>
      <c r="D51" s="84">
        <f>SUM(D13:D50)</f>
        <v>0</v>
      </c>
      <c r="E51" s="84"/>
    </row>
    <row r="52" spans="1:5" s="64" customFormat="1" x14ac:dyDescent="0.25">
      <c r="B52" s="85"/>
      <c r="C52" s="85"/>
      <c r="D52" s="85"/>
      <c r="E52" s="85"/>
    </row>
    <row r="53" spans="1:5" s="64" customFormat="1" ht="30" x14ac:dyDescent="0.25">
      <c r="A53" s="86" t="s">
        <v>149</v>
      </c>
      <c r="B53" s="87" t="s">
        <v>150</v>
      </c>
      <c r="C53" s="87" t="s">
        <v>151</v>
      </c>
      <c r="D53" s="87" t="s">
        <v>152</v>
      </c>
      <c r="E53" s="87" t="s">
        <v>153</v>
      </c>
    </row>
    <row r="54" spans="1:5" s="64" customFormat="1" x14ac:dyDescent="0.25">
      <c r="A54" s="88" t="s">
        <v>334</v>
      </c>
      <c r="B54" s="89" t="s">
        <v>330</v>
      </c>
      <c r="C54" s="90">
        <v>191537</v>
      </c>
      <c r="D54" s="90">
        <v>0</v>
      </c>
      <c r="E54" s="90">
        <v>0</v>
      </c>
    </row>
    <row r="55" spans="1:5" s="64" customFormat="1" ht="15" customHeight="1" x14ac:dyDescent="0.25">
      <c r="A55" s="88" t="s">
        <v>333</v>
      </c>
      <c r="B55" s="89"/>
      <c r="C55" s="90">
        <v>0</v>
      </c>
      <c r="D55" s="90">
        <v>0</v>
      </c>
      <c r="E55" s="90">
        <f t="shared" ref="E55" si="4">C55-D55</f>
        <v>0</v>
      </c>
    </row>
    <row r="56" spans="1:5" s="64" customFormat="1" x14ac:dyDescent="0.25">
      <c r="A56" s="88" t="s">
        <v>154</v>
      </c>
      <c r="B56" s="89"/>
      <c r="C56" s="90"/>
      <c r="D56" s="90"/>
      <c r="E56" s="90"/>
    </row>
    <row r="57" spans="1:5" s="64" customFormat="1" ht="60" x14ac:dyDescent="0.25">
      <c r="A57" s="322" t="s">
        <v>331</v>
      </c>
      <c r="B57" s="325" t="s">
        <v>318</v>
      </c>
      <c r="C57" s="326">
        <v>45000</v>
      </c>
      <c r="D57" s="90"/>
      <c r="E57" s="90"/>
    </row>
    <row r="58" spans="1:5" s="64" customFormat="1" ht="45" x14ac:dyDescent="0.25">
      <c r="A58" s="311" t="s">
        <v>323</v>
      </c>
      <c r="B58" s="325" t="s">
        <v>318</v>
      </c>
      <c r="C58" s="326">
        <v>4500</v>
      </c>
      <c r="D58" s="90"/>
      <c r="E58" s="90"/>
    </row>
    <row r="59" spans="1:5" s="64" customFormat="1" ht="27.6" customHeight="1" x14ac:dyDescent="0.25">
      <c r="A59" s="324" t="s">
        <v>324</v>
      </c>
      <c r="B59" s="325" t="s">
        <v>318</v>
      </c>
      <c r="C59" s="326">
        <v>6250</v>
      </c>
      <c r="D59" s="90"/>
      <c r="E59" s="90"/>
    </row>
    <row r="60" spans="1:5" s="64" customFormat="1" ht="45" x14ac:dyDescent="0.25">
      <c r="A60" s="91" t="s">
        <v>155</v>
      </c>
      <c r="B60" s="87" t="s">
        <v>156</v>
      </c>
      <c r="C60" s="87" t="s">
        <v>137</v>
      </c>
      <c r="D60" s="87" t="s">
        <v>152</v>
      </c>
      <c r="E60" s="87" t="s">
        <v>153</v>
      </c>
    </row>
    <row r="61" spans="1:5" s="64" customFormat="1" x14ac:dyDescent="0.25">
      <c r="A61" s="88"/>
      <c r="B61" s="89"/>
      <c r="C61" s="90">
        <v>0</v>
      </c>
      <c r="D61" s="90">
        <v>0</v>
      </c>
      <c r="E61" s="90">
        <f t="shared" ref="E61" si="5">C61-D61</f>
        <v>0</v>
      </c>
    </row>
    <row r="62" spans="1:5" s="64" customFormat="1" x14ac:dyDescent="0.25"/>
    <row r="63" spans="1:5" s="64" customFormat="1" x14ac:dyDescent="0.25"/>
    <row r="64" spans="1:5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  <row r="120" s="64" customFormat="1" x14ac:dyDescent="0.25"/>
    <row r="121" s="64" customFormat="1" x14ac:dyDescent="0.25"/>
    <row r="122" s="64" customFormat="1" x14ac:dyDescent="0.25"/>
    <row r="123" s="64" customFormat="1" x14ac:dyDescent="0.25"/>
    <row r="124" s="64" customFormat="1" x14ac:dyDescent="0.25"/>
    <row r="125" s="64" customFormat="1" x14ac:dyDescent="0.25"/>
    <row r="126" s="64" customFormat="1" x14ac:dyDescent="0.25"/>
    <row r="127" s="64" customFormat="1" x14ac:dyDescent="0.25"/>
    <row r="128" s="64" customFormat="1" x14ac:dyDescent="0.25"/>
    <row r="129" s="64" customFormat="1" x14ac:dyDescent="0.25"/>
    <row r="130" s="64" customFormat="1" x14ac:dyDescent="0.25"/>
    <row r="131" s="64" customFormat="1" x14ac:dyDescent="0.25"/>
    <row r="132" s="64" customFormat="1" x14ac:dyDescent="0.25"/>
    <row r="133" s="64" customFormat="1" x14ac:dyDescent="0.25"/>
    <row r="134" s="64" customFormat="1" x14ac:dyDescent="0.25"/>
    <row r="135" s="64" customFormat="1" x14ac:dyDescent="0.25"/>
    <row r="136" s="64" customFormat="1" x14ac:dyDescent="0.25"/>
    <row r="137" s="64" customFormat="1" x14ac:dyDescent="0.25"/>
    <row r="138" s="64" customFormat="1" x14ac:dyDescent="0.25"/>
    <row r="139" s="64" customFormat="1" x14ac:dyDescent="0.25"/>
    <row r="140" s="64" customFormat="1" x14ac:dyDescent="0.25"/>
    <row r="141" s="64" customFormat="1" x14ac:dyDescent="0.25"/>
    <row r="142" s="64" customFormat="1" x14ac:dyDescent="0.25"/>
    <row r="143" s="64" customFormat="1" x14ac:dyDescent="0.25"/>
    <row r="144" s="64" customFormat="1" x14ac:dyDescent="0.25"/>
    <row r="145" s="64" customFormat="1" x14ac:dyDescent="0.25"/>
    <row r="146" s="64" customFormat="1" x14ac:dyDescent="0.25"/>
    <row r="147" s="64" customFormat="1" x14ac:dyDescent="0.25"/>
    <row r="148" s="64" customFormat="1" x14ac:dyDescent="0.25"/>
    <row r="149" s="64" customFormat="1" x14ac:dyDescent="0.25"/>
    <row r="150" s="64" customFormat="1" x14ac:dyDescent="0.25"/>
    <row r="151" s="64" customFormat="1" x14ac:dyDescent="0.25"/>
    <row r="152" s="64" customFormat="1" x14ac:dyDescent="0.25"/>
    <row r="153" s="64" customFormat="1" x14ac:dyDescent="0.25"/>
    <row r="154" s="64" customFormat="1" x14ac:dyDescent="0.25"/>
    <row r="155" s="64" customFormat="1" x14ac:dyDescent="0.25"/>
    <row r="156" s="64" customFormat="1" x14ac:dyDescent="0.25"/>
    <row r="157" s="64" customFormat="1" x14ac:dyDescent="0.25"/>
    <row r="158" s="64" customFormat="1" x14ac:dyDescent="0.25"/>
    <row r="159" s="64" customFormat="1" x14ac:dyDescent="0.25"/>
    <row r="160" s="64" customFormat="1" x14ac:dyDescent="0.25"/>
    <row r="161" s="64" customFormat="1" x14ac:dyDescent="0.25"/>
    <row r="162" s="64" customFormat="1" x14ac:dyDescent="0.25"/>
    <row r="163" s="64" customFormat="1" x14ac:dyDescent="0.25"/>
    <row r="164" s="64" customFormat="1" x14ac:dyDescent="0.25"/>
    <row r="165" s="64" customFormat="1" x14ac:dyDescent="0.25"/>
    <row r="166" s="64" customFormat="1" x14ac:dyDescent="0.25"/>
    <row r="167" s="64" customFormat="1" x14ac:dyDescent="0.25"/>
    <row r="168" s="64" customFormat="1" x14ac:dyDescent="0.25"/>
    <row r="169" s="64" customFormat="1" x14ac:dyDescent="0.25"/>
    <row r="170" s="64" customFormat="1" x14ac:dyDescent="0.25"/>
    <row r="171" s="64" customFormat="1" x14ac:dyDescent="0.25"/>
    <row r="172" s="64" customFormat="1" x14ac:dyDescent="0.25"/>
    <row r="173" s="64" customFormat="1" x14ac:dyDescent="0.25"/>
    <row r="174" s="64" customFormat="1" x14ac:dyDescent="0.25"/>
    <row r="175" s="64" customFormat="1" x14ac:dyDescent="0.25"/>
    <row r="176" s="64" customFormat="1" x14ac:dyDescent="0.25"/>
    <row r="177" s="64" customFormat="1" x14ac:dyDescent="0.25"/>
    <row r="178" s="64" customFormat="1" x14ac:dyDescent="0.25"/>
    <row r="179" s="64" customFormat="1" x14ac:dyDescent="0.25"/>
    <row r="180" s="64" customFormat="1" x14ac:dyDescent="0.25"/>
    <row r="181" s="64" customFormat="1" x14ac:dyDescent="0.25"/>
    <row r="182" s="64" customFormat="1" x14ac:dyDescent="0.25"/>
    <row r="183" s="64" customFormat="1" x14ac:dyDescent="0.25"/>
    <row r="184" s="64" customFormat="1" x14ac:dyDescent="0.25"/>
    <row r="185" s="64" customFormat="1" x14ac:dyDescent="0.25"/>
    <row r="186" s="64" customFormat="1" x14ac:dyDescent="0.25"/>
    <row r="187" s="64" customFormat="1" x14ac:dyDescent="0.25"/>
    <row r="188" s="64" customFormat="1" x14ac:dyDescent="0.25"/>
    <row r="189" s="64" customFormat="1" x14ac:dyDescent="0.25"/>
    <row r="190" s="64" customFormat="1" x14ac:dyDescent="0.25"/>
    <row r="191" s="64" customFormat="1" x14ac:dyDescent="0.25"/>
    <row r="192" s="64" customFormat="1" x14ac:dyDescent="0.25"/>
    <row r="193" s="64" customFormat="1" x14ac:dyDescent="0.25"/>
    <row r="194" s="64" customFormat="1" x14ac:dyDescent="0.25"/>
    <row r="195" s="64" customFormat="1" x14ac:dyDescent="0.25"/>
    <row r="196" s="64" customFormat="1" x14ac:dyDescent="0.25"/>
    <row r="197" s="64" customFormat="1" x14ac:dyDescent="0.25"/>
    <row r="198" s="64" customFormat="1" x14ac:dyDescent="0.25"/>
    <row r="199" s="64" customFormat="1" x14ac:dyDescent="0.25"/>
    <row r="200" s="64" customFormat="1" x14ac:dyDescent="0.25"/>
    <row r="201" s="64" customFormat="1" x14ac:dyDescent="0.25"/>
    <row r="202" s="64" customFormat="1" x14ac:dyDescent="0.25"/>
    <row r="203" s="64" customFormat="1" x14ac:dyDescent="0.25"/>
    <row r="204" s="64" customFormat="1" x14ac:dyDescent="0.25"/>
    <row r="205" s="64" customFormat="1" x14ac:dyDescent="0.25"/>
    <row r="206" s="64" customFormat="1" x14ac:dyDescent="0.25"/>
    <row r="207" s="64" customFormat="1" x14ac:dyDescent="0.25"/>
    <row r="208" s="64" customFormat="1" x14ac:dyDescent="0.25"/>
    <row r="209" s="64" customFormat="1" x14ac:dyDescent="0.25"/>
    <row r="210" s="64" customFormat="1" x14ac:dyDescent="0.25"/>
    <row r="211" s="64" customFormat="1" x14ac:dyDescent="0.25"/>
    <row r="212" s="64" customFormat="1" x14ac:dyDescent="0.25"/>
    <row r="213" s="64" customFormat="1" x14ac:dyDescent="0.25"/>
    <row r="214" s="64" customFormat="1" x14ac:dyDescent="0.25"/>
    <row r="215" s="64" customFormat="1" x14ac:dyDescent="0.25"/>
    <row r="216" s="64" customFormat="1" x14ac:dyDescent="0.25"/>
    <row r="217" s="64" customFormat="1" x14ac:dyDescent="0.25"/>
    <row r="218" s="64" customFormat="1" x14ac:dyDescent="0.25"/>
    <row r="219" s="64" customFormat="1" x14ac:dyDescent="0.25"/>
    <row r="220" s="64" customFormat="1" x14ac:dyDescent="0.25"/>
    <row r="221" s="64" customFormat="1" x14ac:dyDescent="0.25"/>
    <row r="222" s="64" customFormat="1" x14ac:dyDescent="0.25"/>
    <row r="223" s="64" customFormat="1" x14ac:dyDescent="0.25"/>
    <row r="224" s="64" customFormat="1" x14ac:dyDescent="0.25"/>
    <row r="225" s="64" customFormat="1" x14ac:dyDescent="0.25"/>
    <row r="226" s="64" customFormat="1" x14ac:dyDescent="0.25"/>
    <row r="227" s="64" customFormat="1" x14ac:dyDescent="0.25"/>
    <row r="228" s="64" customFormat="1" x14ac:dyDescent="0.25"/>
    <row r="229" s="64" customFormat="1" x14ac:dyDescent="0.25"/>
    <row r="230" s="64" customFormat="1" x14ac:dyDescent="0.25"/>
    <row r="231" s="64" customFormat="1" x14ac:dyDescent="0.25"/>
    <row r="232" s="64" customFormat="1" x14ac:dyDescent="0.25"/>
    <row r="233" s="64" customFormat="1" x14ac:dyDescent="0.25"/>
    <row r="234" s="64" customFormat="1" x14ac:dyDescent="0.25"/>
    <row r="235" s="64" customFormat="1" x14ac:dyDescent="0.25"/>
    <row r="236" s="64" customFormat="1" x14ac:dyDescent="0.25"/>
    <row r="237" s="64" customFormat="1" x14ac:dyDescent="0.25"/>
    <row r="238" s="64" customFormat="1" x14ac:dyDescent="0.25"/>
    <row r="239" s="64" customFormat="1" x14ac:dyDescent="0.25"/>
    <row r="240" s="64" customFormat="1" x14ac:dyDescent="0.25"/>
    <row r="241" s="64" customFormat="1" x14ac:dyDescent="0.25"/>
    <row r="242" s="64" customFormat="1" x14ac:dyDescent="0.25"/>
    <row r="243" s="64" customFormat="1" x14ac:dyDescent="0.25"/>
    <row r="244" s="64" customFormat="1" x14ac:dyDescent="0.25"/>
    <row r="245" s="64" customFormat="1" x14ac:dyDescent="0.25"/>
    <row r="246" s="64" customFormat="1" x14ac:dyDescent="0.25"/>
    <row r="247" s="64" customFormat="1" x14ac:dyDescent="0.25"/>
    <row r="248" s="64" customFormat="1" x14ac:dyDescent="0.25"/>
    <row r="249" s="64" customFormat="1" x14ac:dyDescent="0.25"/>
    <row r="250" s="64" customFormat="1" x14ac:dyDescent="0.25"/>
    <row r="251" s="64" customFormat="1" x14ac:dyDescent="0.25"/>
    <row r="252" s="64" customFormat="1" x14ac:dyDescent="0.25"/>
    <row r="253" s="64" customFormat="1" x14ac:dyDescent="0.25"/>
    <row r="254" s="64" customFormat="1" x14ac:dyDescent="0.25"/>
    <row r="255" s="64" customFormat="1" x14ac:dyDescent="0.25"/>
    <row r="256" s="64" customFormat="1" x14ac:dyDescent="0.25"/>
    <row r="257" s="64" customFormat="1" x14ac:dyDescent="0.25"/>
    <row r="258" s="64" customFormat="1" x14ac:dyDescent="0.25"/>
    <row r="259" s="64" customFormat="1" x14ac:dyDescent="0.25"/>
    <row r="260" s="64" customFormat="1" x14ac:dyDescent="0.25"/>
    <row r="261" s="64" customFormat="1" x14ac:dyDescent="0.25"/>
    <row r="262" s="64" customFormat="1" x14ac:dyDescent="0.25"/>
    <row r="263" s="64" customFormat="1" x14ac:dyDescent="0.25"/>
    <row r="264" s="64" customFormat="1" x14ac:dyDescent="0.25"/>
    <row r="265" s="64" customFormat="1" x14ac:dyDescent="0.25"/>
    <row r="266" s="64" customFormat="1" x14ac:dyDescent="0.25"/>
    <row r="267" s="64" customFormat="1" x14ac:dyDescent="0.25"/>
    <row r="268" s="64" customFormat="1" x14ac:dyDescent="0.25"/>
    <row r="269" s="64" customFormat="1" x14ac:dyDescent="0.25"/>
    <row r="270" s="64" customFormat="1" x14ac:dyDescent="0.25"/>
    <row r="271" s="64" customFormat="1" x14ac:dyDescent="0.25"/>
    <row r="272" s="64" customFormat="1" x14ac:dyDescent="0.25"/>
    <row r="273" s="64" customFormat="1" x14ac:dyDescent="0.25"/>
    <row r="274" s="64" customFormat="1" x14ac:dyDescent="0.25"/>
    <row r="275" s="64" customFormat="1" x14ac:dyDescent="0.25"/>
    <row r="276" s="64" customFormat="1" x14ac:dyDescent="0.25"/>
    <row r="277" s="64" customFormat="1" x14ac:dyDescent="0.25"/>
    <row r="278" s="64" customFormat="1" x14ac:dyDescent="0.25"/>
    <row r="279" s="64" customFormat="1" x14ac:dyDescent="0.25"/>
    <row r="280" s="64" customFormat="1" x14ac:dyDescent="0.25"/>
    <row r="281" s="64" customFormat="1" x14ac:dyDescent="0.25"/>
    <row r="282" s="64" customFormat="1" x14ac:dyDescent="0.25"/>
    <row r="283" s="64" customFormat="1" x14ac:dyDescent="0.25"/>
    <row r="284" s="64" customFormat="1" x14ac:dyDescent="0.25"/>
    <row r="285" s="64" customFormat="1" x14ac:dyDescent="0.25"/>
    <row r="286" s="64" customFormat="1" x14ac:dyDescent="0.25"/>
    <row r="287" s="64" customFormat="1" x14ac:dyDescent="0.25"/>
    <row r="288" s="64" customFormat="1" x14ac:dyDescent="0.25"/>
    <row r="289" s="64" customFormat="1" x14ac:dyDescent="0.25"/>
    <row r="290" s="64" customFormat="1" x14ac:dyDescent="0.25"/>
    <row r="291" s="64" customFormat="1" x14ac:dyDescent="0.25"/>
    <row r="292" s="64" customFormat="1" x14ac:dyDescent="0.25"/>
    <row r="293" s="64" customFormat="1" x14ac:dyDescent="0.25"/>
    <row r="294" s="64" customFormat="1" x14ac:dyDescent="0.25"/>
    <row r="295" s="64" customFormat="1" x14ac:dyDescent="0.25"/>
    <row r="296" s="64" customFormat="1" x14ac:dyDescent="0.25"/>
    <row r="297" s="64" customFormat="1" x14ac:dyDescent="0.25"/>
    <row r="298" s="64" customFormat="1" x14ac:dyDescent="0.25"/>
    <row r="299" s="64" customFormat="1" x14ac:dyDescent="0.25"/>
    <row r="300" s="64" customFormat="1" x14ac:dyDescent="0.25"/>
    <row r="301" s="64" customFormat="1" x14ac:dyDescent="0.25"/>
    <row r="302" s="64" customFormat="1" x14ac:dyDescent="0.25"/>
    <row r="303" s="64" customFormat="1" x14ac:dyDescent="0.25"/>
    <row r="304" s="64" customFormat="1" x14ac:dyDescent="0.25"/>
    <row r="305" s="64" customFormat="1" x14ac:dyDescent="0.25"/>
    <row r="306" s="64" customFormat="1" x14ac:dyDescent="0.25"/>
    <row r="307" s="64" customFormat="1" x14ac:dyDescent="0.25"/>
    <row r="308" s="64" customFormat="1" x14ac:dyDescent="0.25"/>
    <row r="309" s="64" customFormat="1" x14ac:dyDescent="0.25"/>
    <row r="310" s="64" customFormat="1" x14ac:dyDescent="0.25"/>
    <row r="311" s="64" customFormat="1" x14ac:dyDescent="0.25"/>
    <row r="312" s="64" customFormat="1" x14ac:dyDescent="0.25"/>
    <row r="313" s="64" customFormat="1" x14ac:dyDescent="0.25"/>
    <row r="314" s="64" customFormat="1" x14ac:dyDescent="0.25"/>
    <row r="315" s="64" customFormat="1" x14ac:dyDescent="0.25"/>
    <row r="316" s="64" customFormat="1" x14ac:dyDescent="0.25"/>
    <row r="317" s="64" customFormat="1" x14ac:dyDescent="0.25"/>
    <row r="318" s="64" customFormat="1" x14ac:dyDescent="0.25"/>
    <row r="319" s="64" customFormat="1" x14ac:dyDescent="0.25"/>
    <row r="320" s="64" customFormat="1" x14ac:dyDescent="0.25"/>
    <row r="321" s="64" customFormat="1" x14ac:dyDescent="0.25"/>
    <row r="322" s="64" customFormat="1" x14ac:dyDescent="0.25"/>
    <row r="323" s="64" customFormat="1" x14ac:dyDescent="0.25"/>
    <row r="324" s="64" customFormat="1" x14ac:dyDescent="0.25"/>
    <row r="325" s="64" customFormat="1" x14ac:dyDescent="0.25"/>
    <row r="326" s="64" customFormat="1" x14ac:dyDescent="0.25"/>
    <row r="327" s="64" customFormat="1" x14ac:dyDescent="0.25"/>
    <row r="328" s="64" customFormat="1" x14ac:dyDescent="0.25"/>
    <row r="329" s="64" customFormat="1" x14ac:dyDescent="0.25"/>
    <row r="330" s="64" customFormat="1" x14ac:dyDescent="0.25"/>
    <row r="331" s="64" customFormat="1" x14ac:dyDescent="0.25"/>
    <row r="332" s="64" customFormat="1" x14ac:dyDescent="0.25"/>
    <row r="333" s="64" customFormat="1" x14ac:dyDescent="0.25"/>
    <row r="334" s="64" customFormat="1" x14ac:dyDescent="0.25"/>
    <row r="335" s="64" customFormat="1" x14ac:dyDescent="0.25"/>
    <row r="336" s="64" customFormat="1" x14ac:dyDescent="0.25"/>
    <row r="337" s="64" customFormat="1" x14ac:dyDescent="0.25"/>
    <row r="338" s="64" customFormat="1" x14ac:dyDescent="0.25"/>
    <row r="339" s="64" customFormat="1" x14ac:dyDescent="0.25"/>
    <row r="340" s="64" customFormat="1" x14ac:dyDescent="0.25"/>
    <row r="341" s="64" customFormat="1" x14ac:dyDescent="0.25"/>
    <row r="342" s="64" customFormat="1" x14ac:dyDescent="0.25"/>
    <row r="343" s="64" customFormat="1" x14ac:dyDescent="0.25"/>
    <row r="344" s="64" customFormat="1" x14ac:dyDescent="0.25"/>
    <row r="345" s="64" customFormat="1" x14ac:dyDescent="0.25"/>
    <row r="346" s="64" customFormat="1" x14ac:dyDescent="0.25"/>
    <row r="347" s="64" customFormat="1" x14ac:dyDescent="0.25"/>
    <row r="348" s="64" customFormat="1" x14ac:dyDescent="0.25"/>
    <row r="349" s="64" customFormat="1" x14ac:dyDescent="0.25"/>
    <row r="350" s="64" customFormat="1" x14ac:dyDescent="0.25"/>
    <row r="351" s="64" customFormat="1" x14ac:dyDescent="0.25"/>
    <row r="352" s="64" customFormat="1" x14ac:dyDescent="0.25"/>
    <row r="353" s="64" customFormat="1" x14ac:dyDescent="0.25"/>
    <row r="354" s="64" customFormat="1" x14ac:dyDescent="0.25"/>
    <row r="355" s="64" customFormat="1" x14ac:dyDescent="0.25"/>
    <row r="356" s="64" customFormat="1" x14ac:dyDescent="0.25"/>
    <row r="357" s="64" customFormat="1" x14ac:dyDescent="0.25"/>
    <row r="358" s="64" customFormat="1" x14ac:dyDescent="0.25"/>
    <row r="359" s="64" customFormat="1" x14ac:dyDescent="0.25"/>
    <row r="360" s="64" customFormat="1" x14ac:dyDescent="0.25"/>
    <row r="361" s="64" customFormat="1" x14ac:dyDescent="0.25"/>
    <row r="362" s="64" customFormat="1" x14ac:dyDescent="0.25"/>
    <row r="363" s="64" customFormat="1" x14ac:dyDescent="0.25"/>
    <row r="364" s="64" customFormat="1" x14ac:dyDescent="0.25"/>
    <row r="365" s="64" customFormat="1" x14ac:dyDescent="0.25"/>
    <row r="366" s="64" customFormat="1" x14ac:dyDescent="0.25"/>
    <row r="367" s="64" customFormat="1" x14ac:dyDescent="0.25"/>
    <row r="368" s="64" customFormat="1" x14ac:dyDescent="0.25"/>
    <row r="369" s="64" customFormat="1" x14ac:dyDescent="0.25"/>
    <row r="370" s="64" customFormat="1" x14ac:dyDescent="0.25"/>
    <row r="371" s="64" customFormat="1" x14ac:dyDescent="0.25"/>
    <row r="372" s="64" customFormat="1" x14ac:dyDescent="0.25"/>
    <row r="373" s="64" customFormat="1" x14ac:dyDescent="0.25"/>
    <row r="374" s="64" customFormat="1" x14ac:dyDescent="0.25"/>
    <row r="375" s="64" customFormat="1" x14ac:dyDescent="0.25"/>
    <row r="376" s="64" customFormat="1" x14ac:dyDescent="0.25"/>
    <row r="377" s="64" customFormat="1" x14ac:dyDescent="0.25"/>
    <row r="378" s="64" customFormat="1" x14ac:dyDescent="0.25"/>
    <row r="379" s="64" customFormat="1" x14ac:dyDescent="0.25"/>
    <row r="380" s="64" customFormat="1" x14ac:dyDescent="0.25"/>
    <row r="381" s="64" customFormat="1" x14ac:dyDescent="0.25"/>
    <row r="382" s="64" customFormat="1" x14ac:dyDescent="0.25"/>
    <row r="383" s="64" customFormat="1" x14ac:dyDescent="0.25"/>
    <row r="384" s="64" customFormat="1" x14ac:dyDescent="0.25"/>
    <row r="385" s="64" customFormat="1" x14ac:dyDescent="0.25"/>
    <row r="386" s="64" customFormat="1" x14ac:dyDescent="0.25"/>
    <row r="387" s="64" customFormat="1" x14ac:dyDescent="0.25"/>
    <row r="388" s="64" customFormat="1" x14ac:dyDescent="0.25"/>
    <row r="389" s="64" customFormat="1" x14ac:dyDescent="0.25"/>
    <row r="390" s="64" customFormat="1" x14ac:dyDescent="0.25"/>
    <row r="391" s="64" customFormat="1" x14ac:dyDescent="0.25"/>
    <row r="392" s="64" customFormat="1" x14ac:dyDescent="0.25"/>
    <row r="393" s="64" customFormat="1" x14ac:dyDescent="0.25"/>
    <row r="394" s="64" customFormat="1" x14ac:dyDescent="0.25"/>
    <row r="395" s="64" customFormat="1" x14ac:dyDescent="0.25"/>
    <row r="396" s="64" customFormat="1" x14ac:dyDescent="0.25"/>
    <row r="397" s="64" customFormat="1" x14ac:dyDescent="0.25"/>
    <row r="398" s="64" customFormat="1" x14ac:dyDescent="0.25"/>
    <row r="399" s="64" customFormat="1" x14ac:dyDescent="0.25"/>
    <row r="400" s="64" customFormat="1" x14ac:dyDescent="0.25"/>
    <row r="401" s="64" customFormat="1" x14ac:dyDescent="0.25"/>
    <row r="402" s="64" customFormat="1" x14ac:dyDescent="0.25"/>
    <row r="403" s="64" customFormat="1" x14ac:dyDescent="0.25"/>
    <row r="404" s="64" customFormat="1" x14ac:dyDescent="0.25"/>
    <row r="405" s="64" customFormat="1" x14ac:dyDescent="0.25"/>
    <row r="406" s="64" customFormat="1" x14ac:dyDescent="0.25"/>
    <row r="407" s="64" customFormat="1" x14ac:dyDescent="0.25"/>
    <row r="408" s="64" customFormat="1" x14ac:dyDescent="0.25"/>
    <row r="409" s="64" customFormat="1" x14ac:dyDescent="0.25"/>
    <row r="410" s="64" customFormat="1" x14ac:dyDescent="0.25"/>
    <row r="411" s="64" customFormat="1" x14ac:dyDescent="0.25"/>
    <row r="412" s="64" customFormat="1" x14ac:dyDescent="0.25"/>
    <row r="413" s="64" customFormat="1" x14ac:dyDescent="0.25"/>
    <row r="414" s="64" customFormat="1" x14ac:dyDescent="0.25"/>
    <row r="415" s="64" customFormat="1" x14ac:dyDescent="0.25"/>
    <row r="416" s="64" customFormat="1" x14ac:dyDescent="0.25"/>
    <row r="417" s="64" customFormat="1" x14ac:dyDescent="0.25"/>
    <row r="418" s="64" customFormat="1" x14ac:dyDescent="0.25"/>
    <row r="419" s="64" customFormat="1" x14ac:dyDescent="0.25"/>
    <row r="420" s="64" customFormat="1" x14ac:dyDescent="0.25"/>
    <row r="421" s="64" customFormat="1" x14ac:dyDescent="0.25"/>
    <row r="422" s="64" customFormat="1" x14ac:dyDescent="0.25"/>
    <row r="423" s="64" customFormat="1" x14ac:dyDescent="0.25"/>
    <row r="424" s="64" customFormat="1" x14ac:dyDescent="0.25"/>
    <row r="425" s="64" customFormat="1" x14ac:dyDescent="0.25"/>
    <row r="426" s="64" customFormat="1" x14ac:dyDescent="0.25"/>
    <row r="427" s="64" customFormat="1" x14ac:dyDescent="0.25"/>
    <row r="428" s="64" customFormat="1" x14ac:dyDescent="0.25"/>
    <row r="429" s="64" customFormat="1" x14ac:dyDescent="0.25"/>
    <row r="430" s="64" customFormat="1" x14ac:dyDescent="0.25"/>
    <row r="431" s="64" customFormat="1" x14ac:dyDescent="0.25"/>
    <row r="432" s="64" customFormat="1" x14ac:dyDescent="0.25"/>
    <row r="433" s="64" customFormat="1" x14ac:dyDescent="0.25"/>
    <row r="434" s="64" customFormat="1" x14ac:dyDescent="0.25"/>
    <row r="435" s="64" customFormat="1" x14ac:dyDescent="0.25"/>
    <row r="436" s="64" customFormat="1" x14ac:dyDescent="0.25"/>
    <row r="437" s="64" customFormat="1" x14ac:dyDescent="0.25"/>
    <row r="438" s="64" customFormat="1" x14ac:dyDescent="0.25"/>
    <row r="439" s="64" customFormat="1" x14ac:dyDescent="0.25"/>
    <row r="440" s="64" customFormat="1" x14ac:dyDescent="0.25"/>
    <row r="441" s="64" customFormat="1" x14ac:dyDescent="0.25"/>
    <row r="442" s="64" customFormat="1" x14ac:dyDescent="0.25"/>
    <row r="443" s="64" customFormat="1" x14ac:dyDescent="0.25"/>
    <row r="444" s="64" customFormat="1" x14ac:dyDescent="0.25"/>
    <row r="445" s="64" customFormat="1" x14ac:dyDescent="0.25"/>
    <row r="446" s="64" customFormat="1" x14ac:dyDescent="0.25"/>
    <row r="447" s="64" customFormat="1" x14ac:dyDescent="0.25"/>
    <row r="448" s="64" customFormat="1" x14ac:dyDescent="0.25"/>
    <row r="449" s="64" customFormat="1" x14ac:dyDescent="0.25"/>
    <row r="450" s="64" customFormat="1" x14ac:dyDescent="0.25"/>
    <row r="451" s="64" customFormat="1" x14ac:dyDescent="0.25"/>
    <row r="452" s="64" customFormat="1" x14ac:dyDescent="0.25"/>
    <row r="453" s="64" customFormat="1" x14ac:dyDescent="0.25"/>
    <row r="454" s="64" customFormat="1" x14ac:dyDescent="0.25"/>
    <row r="455" s="64" customFormat="1" x14ac:dyDescent="0.25"/>
    <row r="456" s="64" customFormat="1" x14ac:dyDescent="0.25"/>
    <row r="457" s="64" customFormat="1" x14ac:dyDescent="0.25"/>
    <row r="458" s="64" customFormat="1" x14ac:dyDescent="0.25"/>
    <row r="459" s="64" customFormat="1" x14ac:dyDescent="0.25"/>
    <row r="460" s="64" customFormat="1" x14ac:dyDescent="0.25"/>
    <row r="461" s="64" customFormat="1" x14ac:dyDescent="0.25"/>
    <row r="462" s="64" customFormat="1" x14ac:dyDescent="0.25"/>
    <row r="463" s="64" customFormat="1" x14ac:dyDescent="0.25"/>
    <row r="464" s="64" customFormat="1" x14ac:dyDescent="0.25"/>
    <row r="465" s="64" customFormat="1" x14ac:dyDescent="0.25"/>
    <row r="466" s="64" customFormat="1" x14ac:dyDescent="0.25"/>
    <row r="467" s="64" customFormat="1" x14ac:dyDescent="0.25"/>
    <row r="468" s="64" customFormat="1" x14ac:dyDescent="0.25"/>
    <row r="469" s="64" customFormat="1" x14ac:dyDescent="0.25"/>
    <row r="470" s="64" customFormat="1" x14ac:dyDescent="0.25"/>
    <row r="471" s="64" customFormat="1" x14ac:dyDescent="0.25"/>
    <row r="472" s="64" customFormat="1" x14ac:dyDescent="0.25"/>
    <row r="473" s="64" customFormat="1" x14ac:dyDescent="0.25"/>
    <row r="474" s="64" customFormat="1" x14ac:dyDescent="0.25"/>
    <row r="475" s="64" customFormat="1" x14ac:dyDescent="0.25"/>
    <row r="476" s="64" customFormat="1" x14ac:dyDescent="0.25"/>
    <row r="477" s="64" customFormat="1" x14ac:dyDescent="0.25"/>
    <row r="478" s="64" customFormat="1" x14ac:dyDescent="0.25"/>
    <row r="479" s="64" customFormat="1" x14ac:dyDescent="0.25"/>
    <row r="480" s="64" customFormat="1" x14ac:dyDescent="0.25"/>
    <row r="481" s="64" customFormat="1" x14ac:dyDescent="0.25"/>
    <row r="482" s="64" customFormat="1" x14ac:dyDescent="0.25"/>
    <row r="483" s="64" customFormat="1" x14ac:dyDescent="0.25"/>
    <row r="484" s="64" customFormat="1" x14ac:dyDescent="0.25"/>
    <row r="485" s="64" customFormat="1" x14ac:dyDescent="0.25"/>
    <row r="486" s="64" customFormat="1" x14ac:dyDescent="0.25"/>
    <row r="487" s="64" customFormat="1" x14ac:dyDescent="0.25"/>
    <row r="488" s="64" customFormat="1" x14ac:dyDescent="0.25"/>
    <row r="489" s="64" customFormat="1" x14ac:dyDescent="0.25"/>
    <row r="490" s="64" customFormat="1" x14ac:dyDescent="0.25"/>
    <row r="491" s="64" customFormat="1" x14ac:dyDescent="0.25"/>
    <row r="492" s="64" customFormat="1" x14ac:dyDescent="0.25"/>
    <row r="493" s="64" customFormat="1" x14ac:dyDescent="0.25"/>
    <row r="494" s="64" customFormat="1" x14ac:dyDescent="0.25"/>
    <row r="495" s="64" customFormat="1" x14ac:dyDescent="0.25"/>
    <row r="496" s="64" customFormat="1" x14ac:dyDescent="0.25"/>
    <row r="497" s="64" customFormat="1" x14ac:dyDescent="0.25"/>
    <row r="498" s="64" customFormat="1" x14ac:dyDescent="0.25"/>
    <row r="499" s="64" customFormat="1" x14ac:dyDescent="0.25"/>
    <row r="500" s="64" customFormat="1" x14ac:dyDescent="0.25"/>
    <row r="501" s="64" customFormat="1" x14ac:dyDescent="0.25"/>
    <row r="502" s="64" customFormat="1" x14ac:dyDescent="0.25"/>
    <row r="503" s="64" customFormat="1" x14ac:dyDescent="0.25"/>
    <row r="504" s="64" customFormat="1" x14ac:dyDescent="0.25"/>
    <row r="505" s="64" customFormat="1" x14ac:dyDescent="0.25"/>
    <row r="506" s="64" customFormat="1" x14ac:dyDescent="0.25"/>
    <row r="507" s="64" customFormat="1" x14ac:dyDescent="0.25"/>
    <row r="508" s="64" customFormat="1" x14ac:dyDescent="0.25"/>
    <row r="509" s="64" customFormat="1" x14ac:dyDescent="0.25"/>
    <row r="510" s="64" customFormat="1" x14ac:dyDescent="0.25"/>
    <row r="511" s="64" customFormat="1" x14ac:dyDescent="0.25"/>
    <row r="512" s="64" customFormat="1" x14ac:dyDescent="0.25"/>
    <row r="513" s="64" customFormat="1" x14ac:dyDescent="0.25"/>
    <row r="514" s="64" customFormat="1" x14ac:dyDescent="0.25"/>
    <row r="515" s="64" customFormat="1" x14ac:dyDescent="0.25"/>
    <row r="516" s="64" customFormat="1" x14ac:dyDescent="0.25"/>
    <row r="517" s="64" customFormat="1" x14ac:dyDescent="0.25"/>
    <row r="518" s="64" customFormat="1" x14ac:dyDescent="0.25"/>
    <row r="519" s="64" customFormat="1" x14ac:dyDescent="0.25"/>
    <row r="520" s="64" customFormat="1" x14ac:dyDescent="0.25"/>
    <row r="521" s="64" customFormat="1" x14ac:dyDescent="0.25"/>
    <row r="522" s="64" customFormat="1" x14ac:dyDescent="0.25"/>
    <row r="523" s="64" customFormat="1" x14ac:dyDescent="0.25"/>
    <row r="524" s="64" customFormat="1" x14ac:dyDescent="0.25"/>
    <row r="525" s="64" customFormat="1" x14ac:dyDescent="0.25"/>
    <row r="526" s="64" customFormat="1" x14ac:dyDescent="0.25"/>
    <row r="527" s="64" customFormat="1" x14ac:dyDescent="0.25"/>
    <row r="528" s="64" customFormat="1" x14ac:dyDescent="0.25"/>
    <row r="529" s="64" customFormat="1" x14ac:dyDescent="0.25"/>
    <row r="530" s="64" customFormat="1" x14ac:dyDescent="0.25"/>
    <row r="531" s="64" customFormat="1" x14ac:dyDescent="0.25"/>
    <row r="532" s="64" customFormat="1" x14ac:dyDescent="0.25"/>
    <row r="533" s="64" customFormat="1" x14ac:dyDescent="0.25"/>
    <row r="534" s="64" customFormat="1" x14ac:dyDescent="0.25"/>
    <row r="535" s="64" customFormat="1" x14ac:dyDescent="0.25"/>
    <row r="536" s="64" customFormat="1" x14ac:dyDescent="0.25"/>
    <row r="537" s="64" customFormat="1" x14ac:dyDescent="0.25"/>
    <row r="538" s="64" customFormat="1" x14ac:dyDescent="0.25"/>
    <row r="539" s="64" customFormat="1" x14ac:dyDescent="0.25"/>
    <row r="540" s="64" customFormat="1" x14ac:dyDescent="0.25"/>
    <row r="541" s="64" customFormat="1" x14ac:dyDescent="0.25"/>
    <row r="542" s="64" customFormat="1" x14ac:dyDescent="0.25"/>
    <row r="543" s="64" customFormat="1" x14ac:dyDescent="0.25"/>
    <row r="544" s="64" customFormat="1" x14ac:dyDescent="0.25"/>
    <row r="545" s="64" customFormat="1" x14ac:dyDescent="0.25"/>
    <row r="546" s="64" customFormat="1" x14ac:dyDescent="0.25"/>
    <row r="547" s="64" customFormat="1" x14ac:dyDescent="0.25"/>
    <row r="548" s="64" customFormat="1" x14ac:dyDescent="0.25"/>
    <row r="549" s="64" customFormat="1" x14ac:dyDescent="0.25"/>
    <row r="550" s="64" customFormat="1" x14ac:dyDescent="0.25"/>
    <row r="551" s="64" customFormat="1" x14ac:dyDescent="0.25"/>
    <row r="552" s="64" customFormat="1" x14ac:dyDescent="0.25"/>
    <row r="553" s="64" customFormat="1" x14ac:dyDescent="0.25"/>
    <row r="554" s="64" customFormat="1" x14ac:dyDescent="0.25"/>
    <row r="555" s="64" customFormat="1" x14ac:dyDescent="0.25"/>
    <row r="556" s="64" customFormat="1" x14ac:dyDescent="0.25"/>
    <row r="557" s="64" customFormat="1" x14ac:dyDescent="0.25"/>
    <row r="558" s="64" customFormat="1" x14ac:dyDescent="0.25"/>
    <row r="559" s="64" customFormat="1" x14ac:dyDescent="0.25"/>
    <row r="560" s="64" customFormat="1" x14ac:dyDescent="0.25"/>
    <row r="561" s="64" customFormat="1" x14ac:dyDescent="0.25"/>
    <row r="562" s="64" customFormat="1" x14ac:dyDescent="0.25"/>
    <row r="563" s="64" customFormat="1" x14ac:dyDescent="0.25"/>
    <row r="564" s="64" customFormat="1" x14ac:dyDescent="0.25"/>
    <row r="565" s="64" customFormat="1" x14ac:dyDescent="0.25"/>
    <row r="566" s="64" customFormat="1" x14ac:dyDescent="0.25"/>
    <row r="567" s="64" customFormat="1" x14ac:dyDescent="0.25"/>
    <row r="568" s="64" customFormat="1" x14ac:dyDescent="0.25"/>
    <row r="569" s="64" customFormat="1" x14ac:dyDescent="0.25"/>
    <row r="570" s="64" customFormat="1" x14ac:dyDescent="0.25"/>
    <row r="571" s="64" customFormat="1" x14ac:dyDescent="0.25"/>
    <row r="572" s="64" customFormat="1" x14ac:dyDescent="0.25"/>
    <row r="573" s="64" customFormat="1" x14ac:dyDescent="0.25"/>
    <row r="574" s="64" customFormat="1" x14ac:dyDescent="0.25"/>
    <row r="575" s="64" customFormat="1" x14ac:dyDescent="0.25"/>
    <row r="576" s="64" customFormat="1" x14ac:dyDescent="0.25"/>
    <row r="577" s="64" customFormat="1" x14ac:dyDescent="0.25"/>
    <row r="578" s="64" customFormat="1" x14ac:dyDescent="0.25"/>
    <row r="579" s="64" customFormat="1" x14ac:dyDescent="0.25"/>
    <row r="580" s="64" customFormat="1" x14ac:dyDescent="0.25"/>
    <row r="581" s="64" customFormat="1" x14ac:dyDescent="0.25"/>
    <row r="582" s="64" customFormat="1" x14ac:dyDescent="0.25"/>
    <row r="583" s="64" customFormat="1" x14ac:dyDescent="0.25"/>
    <row r="584" s="64" customFormat="1" x14ac:dyDescent="0.25"/>
    <row r="585" s="64" customFormat="1" x14ac:dyDescent="0.25"/>
    <row r="586" s="64" customFormat="1" x14ac:dyDescent="0.25"/>
    <row r="587" s="64" customFormat="1" x14ac:dyDescent="0.25"/>
    <row r="588" s="64" customFormat="1" x14ac:dyDescent="0.25"/>
    <row r="589" s="64" customFormat="1" x14ac:dyDescent="0.25"/>
    <row r="590" s="64" customFormat="1" x14ac:dyDescent="0.25"/>
    <row r="591" s="64" customFormat="1" x14ac:dyDescent="0.25"/>
    <row r="592" s="64" customFormat="1" x14ac:dyDescent="0.25"/>
    <row r="593" s="64" customFormat="1" x14ac:dyDescent="0.25"/>
    <row r="594" s="64" customFormat="1" x14ac:dyDescent="0.25"/>
    <row r="595" s="64" customFormat="1" x14ac:dyDescent="0.25"/>
    <row r="596" s="64" customFormat="1" x14ac:dyDescent="0.25"/>
    <row r="597" s="64" customFormat="1" x14ac:dyDescent="0.25"/>
    <row r="598" s="64" customFormat="1" x14ac:dyDescent="0.25"/>
    <row r="599" s="64" customFormat="1" x14ac:dyDescent="0.25"/>
    <row r="600" s="64" customFormat="1" x14ac:dyDescent="0.25"/>
    <row r="601" s="64" customFormat="1" x14ac:dyDescent="0.25"/>
    <row r="602" s="64" customFormat="1" x14ac:dyDescent="0.25"/>
    <row r="603" s="64" customFormat="1" x14ac:dyDescent="0.25"/>
    <row r="604" s="64" customFormat="1" x14ac:dyDescent="0.25"/>
    <row r="605" s="64" customFormat="1" x14ac:dyDescent="0.25"/>
    <row r="606" s="64" customFormat="1" x14ac:dyDescent="0.25"/>
    <row r="607" s="64" customFormat="1" x14ac:dyDescent="0.25"/>
    <row r="608" s="64" customFormat="1" x14ac:dyDescent="0.25"/>
    <row r="609" s="64" customFormat="1" x14ac:dyDescent="0.25"/>
    <row r="610" s="64" customFormat="1" x14ac:dyDescent="0.25"/>
    <row r="611" s="64" customFormat="1" x14ac:dyDescent="0.25"/>
    <row r="612" s="64" customFormat="1" x14ac:dyDescent="0.25"/>
    <row r="613" s="64" customFormat="1" x14ac:dyDescent="0.25"/>
    <row r="614" s="64" customFormat="1" x14ac:dyDescent="0.25"/>
    <row r="615" s="64" customFormat="1" x14ac:dyDescent="0.25"/>
    <row r="616" s="64" customFormat="1" x14ac:dyDescent="0.25"/>
    <row r="617" s="64" customFormat="1" x14ac:dyDescent="0.25"/>
    <row r="618" s="64" customFormat="1" x14ac:dyDescent="0.25"/>
    <row r="619" s="64" customFormat="1" x14ac:dyDescent="0.25"/>
    <row r="620" s="64" customFormat="1" x14ac:dyDescent="0.25"/>
    <row r="621" s="64" customFormat="1" x14ac:dyDescent="0.25"/>
    <row r="622" s="64" customFormat="1" x14ac:dyDescent="0.25"/>
    <row r="623" s="64" customFormat="1" x14ac:dyDescent="0.25"/>
    <row r="624" s="64" customFormat="1" x14ac:dyDescent="0.25"/>
    <row r="625" s="64" customFormat="1" x14ac:dyDescent="0.25"/>
    <row r="626" s="64" customFormat="1" x14ac:dyDescent="0.25"/>
    <row r="627" s="64" customFormat="1" x14ac:dyDescent="0.25"/>
    <row r="628" s="64" customFormat="1" x14ac:dyDescent="0.25"/>
    <row r="629" s="64" customFormat="1" x14ac:dyDescent="0.25"/>
    <row r="630" s="64" customFormat="1" x14ac:dyDescent="0.25"/>
    <row r="631" s="64" customFormat="1" x14ac:dyDescent="0.25"/>
    <row r="632" s="64" customFormat="1" x14ac:dyDescent="0.25"/>
    <row r="633" s="64" customFormat="1" x14ac:dyDescent="0.25"/>
    <row r="634" s="64" customFormat="1" x14ac:dyDescent="0.25"/>
    <row r="635" s="64" customFormat="1" x14ac:dyDescent="0.25"/>
    <row r="636" s="64" customFormat="1" x14ac:dyDescent="0.25"/>
    <row r="637" s="64" customFormat="1" x14ac:dyDescent="0.25"/>
    <row r="638" s="64" customFormat="1" x14ac:dyDescent="0.25"/>
    <row r="639" s="64" customFormat="1" x14ac:dyDescent="0.25"/>
    <row r="640" s="64" customFormat="1" x14ac:dyDescent="0.25"/>
    <row r="641" s="64" customFormat="1" x14ac:dyDescent="0.25"/>
    <row r="642" s="64" customFormat="1" x14ac:dyDescent="0.25"/>
    <row r="643" s="64" customFormat="1" x14ac:dyDescent="0.25"/>
    <row r="644" s="64" customFormat="1" x14ac:dyDescent="0.25"/>
    <row r="645" s="64" customFormat="1" x14ac:dyDescent="0.25"/>
    <row r="646" s="64" customFormat="1" x14ac:dyDescent="0.25"/>
    <row r="647" s="64" customFormat="1" x14ac:dyDescent="0.25"/>
    <row r="648" s="64" customFormat="1" x14ac:dyDescent="0.25"/>
    <row r="649" s="64" customFormat="1" x14ac:dyDescent="0.25"/>
    <row r="650" s="64" customFormat="1" x14ac:dyDescent="0.25"/>
    <row r="651" s="64" customFormat="1" x14ac:dyDescent="0.25"/>
    <row r="652" s="64" customFormat="1" x14ac:dyDescent="0.25"/>
    <row r="653" s="64" customFormat="1" x14ac:dyDescent="0.25"/>
    <row r="654" s="64" customFormat="1" x14ac:dyDescent="0.25"/>
    <row r="655" s="64" customFormat="1" x14ac:dyDescent="0.25"/>
    <row r="656" s="64" customFormat="1" x14ac:dyDescent="0.25"/>
    <row r="657" s="64" customFormat="1" x14ac:dyDescent="0.25"/>
    <row r="658" s="64" customFormat="1" x14ac:dyDescent="0.25"/>
    <row r="659" s="64" customFormat="1" x14ac:dyDescent="0.25"/>
    <row r="660" s="64" customFormat="1" x14ac:dyDescent="0.25"/>
    <row r="661" s="64" customFormat="1" x14ac:dyDescent="0.25"/>
    <row r="662" s="64" customFormat="1" x14ac:dyDescent="0.25"/>
    <row r="663" s="64" customFormat="1" x14ac:dyDescent="0.25"/>
    <row r="664" s="64" customFormat="1" x14ac:dyDescent="0.25"/>
    <row r="665" s="64" customFormat="1" x14ac:dyDescent="0.25"/>
    <row r="666" s="64" customFormat="1" x14ac:dyDescent="0.25"/>
    <row r="667" s="64" customFormat="1" x14ac:dyDescent="0.25"/>
    <row r="668" s="64" customFormat="1" x14ac:dyDescent="0.25"/>
    <row r="669" s="64" customFormat="1" x14ac:dyDescent="0.25"/>
    <row r="670" s="64" customFormat="1" x14ac:dyDescent="0.25"/>
    <row r="671" s="64" customFormat="1" x14ac:dyDescent="0.25"/>
    <row r="672" s="64" customFormat="1" x14ac:dyDescent="0.25"/>
    <row r="673" s="64" customFormat="1" x14ac:dyDescent="0.25"/>
    <row r="674" s="64" customFormat="1" x14ac:dyDescent="0.25"/>
    <row r="675" s="64" customFormat="1" x14ac:dyDescent="0.25"/>
    <row r="676" s="64" customFormat="1" x14ac:dyDescent="0.25"/>
    <row r="677" s="64" customFormat="1" x14ac:dyDescent="0.25"/>
    <row r="678" s="64" customFormat="1" x14ac:dyDescent="0.25"/>
    <row r="679" s="64" customFormat="1" x14ac:dyDescent="0.25"/>
    <row r="680" s="64" customFormat="1" x14ac:dyDescent="0.25"/>
    <row r="681" s="64" customFormat="1" x14ac:dyDescent="0.25"/>
    <row r="682" s="64" customFormat="1" x14ac:dyDescent="0.25"/>
    <row r="683" s="64" customFormat="1" x14ac:dyDescent="0.25"/>
    <row r="684" s="64" customFormat="1" x14ac:dyDescent="0.25"/>
    <row r="685" s="64" customFormat="1" x14ac:dyDescent="0.25"/>
    <row r="686" s="64" customFormat="1" x14ac:dyDescent="0.25"/>
    <row r="687" s="64" customFormat="1" x14ac:dyDescent="0.25"/>
    <row r="688" s="64" customFormat="1" x14ac:dyDescent="0.25"/>
    <row r="689" s="64" customFormat="1" x14ac:dyDescent="0.25"/>
    <row r="690" s="64" customFormat="1" x14ac:dyDescent="0.25"/>
    <row r="691" s="64" customFormat="1" x14ac:dyDescent="0.25"/>
    <row r="692" s="64" customFormat="1" x14ac:dyDescent="0.25"/>
    <row r="693" s="64" customFormat="1" x14ac:dyDescent="0.25"/>
    <row r="694" s="64" customFormat="1" x14ac:dyDescent="0.25"/>
    <row r="695" s="64" customFormat="1" x14ac:dyDescent="0.25"/>
    <row r="696" s="64" customFormat="1" x14ac:dyDescent="0.25"/>
    <row r="697" s="64" customFormat="1" x14ac:dyDescent="0.25"/>
    <row r="698" s="64" customFormat="1" x14ac:dyDescent="0.25"/>
    <row r="699" s="64" customFormat="1" x14ac:dyDescent="0.25"/>
    <row r="700" s="64" customFormat="1" x14ac:dyDescent="0.25"/>
    <row r="701" s="64" customFormat="1" x14ac:dyDescent="0.25"/>
    <row r="702" s="64" customFormat="1" x14ac:dyDescent="0.25"/>
    <row r="703" s="64" customFormat="1" x14ac:dyDescent="0.25"/>
    <row r="704" s="64" customFormat="1" x14ac:dyDescent="0.25"/>
    <row r="705" s="64" customFormat="1" x14ac:dyDescent="0.25"/>
  </sheetData>
  <mergeCells count="27">
    <mergeCell ref="A23:B23"/>
    <mergeCell ref="A48:B48"/>
    <mergeCell ref="A49:B49"/>
    <mergeCell ref="A50:B50"/>
    <mergeCell ref="A51:B51"/>
    <mergeCell ref="A41:B41"/>
    <mergeCell ref="A42:B42"/>
    <mergeCell ref="A43:B43"/>
    <mergeCell ref="A44:B44"/>
    <mergeCell ref="A46:B46"/>
    <mergeCell ref="A47:B47"/>
    <mergeCell ref="A18:B18"/>
    <mergeCell ref="A40:B40"/>
    <mergeCell ref="A12:B12"/>
    <mergeCell ref="A13:B13"/>
    <mergeCell ref="A14:B14"/>
    <mergeCell ref="A20:B20"/>
    <mergeCell ref="A21:B21"/>
    <mergeCell ref="A25:B25"/>
    <mergeCell ref="A35:B35"/>
    <mergeCell ref="A36:B36"/>
    <mergeCell ref="A38:B38"/>
    <mergeCell ref="A39:B39"/>
    <mergeCell ref="A15:B15"/>
    <mergeCell ref="A22:B22"/>
    <mergeCell ref="A33:B33"/>
    <mergeCell ref="A16:B16"/>
  </mergeCells>
  <pageMargins left="0.5" right="0.5" top="0.5" bottom="0.5" header="0.25" footer="0"/>
  <pageSetup scale="6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Activity 1</vt:lpstr>
      <vt:lpstr>Activity 2</vt:lpstr>
      <vt:lpstr>Actvity3</vt:lpstr>
      <vt:lpstr>SAFLrates</vt:lpstr>
      <vt:lpstr>Project Budget_template</vt:lpstr>
      <vt:lpstr>'Project Budget_template'!Print_Area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2019-05-10T16:15:18Z</dcterms:modified>
</cp:coreProperties>
</file>